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8800" windowHeight="12135" tabRatio="771" activeTab="4"/>
  </bookViews>
  <sheets>
    <sheet name="Свод" sheetId="1" r:id="rId1"/>
    <sheet name="См№1 ПР" sheetId="2" r:id="rId2"/>
    <sheet name="См№2 Геодез" sheetId="3" r:id="rId3"/>
    <sheet name="См№3 Геолог" sheetId="4" r:id="rId4"/>
    <sheet name="См№4 Экология" sheetId="5" r:id="rId5"/>
    <sheet name="См№5 Кадастр" sheetId="6" r:id="rId6"/>
    <sheet name="См№6 Обслед" sheetId="7" r:id="rId7"/>
    <sheet name="Экспертиза" sheetId="8" r:id="rId8"/>
  </sheets>
  <definedNames>
    <definedName name="_xlnm.Print_Area" localSheetId="0">'Свод'!$A$1:$F$26</definedName>
    <definedName name="_xlnm.Print_Area" localSheetId="1">'См№1 ПР'!$A$1:$V$30</definedName>
    <definedName name="_xlnm.Print_Area" localSheetId="2">'См№2 Геодез'!$A$1:$N$42</definedName>
    <definedName name="_xlnm.Print_Area" localSheetId="3">'См№3 Геолог'!$A$1:$N$56</definedName>
    <definedName name="_xlnm.Print_Area" localSheetId="4">'См№4 Экология'!$A$1:$M$66</definedName>
    <definedName name="_xlnm.Print_Area" localSheetId="5">'См№5 Кадастр'!$A$1:$H$73</definedName>
    <definedName name="_xlnm.Print_Area" localSheetId="6">'См№6 Обслед'!$A$1:$M$55</definedName>
    <definedName name="_xlnm.Print_Area" localSheetId="7">'Экспертиза'!$A$1:$C$37</definedName>
  </definedNames>
  <calcPr fullCalcOnLoad="1" fullPrecision="0"/>
</workbook>
</file>

<file path=xl/sharedStrings.xml><?xml version="1.0" encoding="utf-8"?>
<sst xmlns="http://schemas.openxmlformats.org/spreadsheetml/2006/main" count="543" uniqueCount="349">
  <si>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</si>
  <si>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</si>
  <si>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</si>
  <si>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2</t>
  </si>
  <si>
    <t>1</t>
  </si>
  <si>
    <t>СВОДНЫЙ СМЕТНЫЙ РАСЧЕТ</t>
  </si>
  <si>
    <t>№    п/п</t>
  </si>
  <si>
    <t>Перечень выполняемых работ</t>
  </si>
  <si>
    <t>№ сметы</t>
  </si>
  <si>
    <t>Смета № 1</t>
  </si>
  <si>
    <t>Смета № 2</t>
  </si>
  <si>
    <t>Итого</t>
  </si>
  <si>
    <t>*</t>
  </si>
  <si>
    <t>3</t>
  </si>
  <si>
    <t>4</t>
  </si>
  <si>
    <t>Стоимость,                  тыс. руб</t>
  </si>
  <si>
    <t>НДС</t>
  </si>
  <si>
    <t xml:space="preserve">Расчет стоимости: (a+bx)*Ki, или (объем строительно-монтажных работ) * проц./100 или количество x цена </t>
  </si>
  <si>
    <t>Стоимость работ,            рублей</t>
  </si>
  <si>
    <t>Разработка проектно-сметной документации</t>
  </si>
  <si>
    <t>5</t>
  </si>
  <si>
    <t>Договорной коэффициент</t>
  </si>
  <si>
    <t>Полевые работы</t>
  </si>
  <si>
    <t>Камеральные работы</t>
  </si>
  <si>
    <t>Смета № 3</t>
  </si>
  <si>
    <t>Исходные данные:</t>
  </si>
  <si>
    <t>ИТОГО с учетом договорного коэффициента К=</t>
  </si>
  <si>
    <t>Смета № 4</t>
  </si>
  <si>
    <t>№ п/п</t>
  </si>
  <si>
    <t>№№ частей, глав таблиц, пунктов указаний к разделу или главе Сборника ценна ПИР для строительства</t>
  </si>
  <si>
    <t>Расчет стоимости (а+в*х), или (Объем СМР)*Х%/200, или                                                               цена (руб)* кол-во</t>
  </si>
  <si>
    <t>Стоимость, руб.</t>
  </si>
  <si>
    <t>К - итоговый (таб. 3 Общ.указ.)</t>
  </si>
  <si>
    <t>полевые работы</t>
  </si>
  <si>
    <t>камеральные работы</t>
  </si>
  <si>
    <t>Таблица 11, §2</t>
  </si>
  <si>
    <t>в том числе полевых работ:</t>
  </si>
  <si>
    <t>камеральных работ:</t>
  </si>
  <si>
    <t>Отбор проб на загрязненность по хим. показателям:</t>
  </si>
  <si>
    <t>Таблица 60</t>
  </si>
  <si>
    <t>Отбор проб для бактериологического анализа:</t>
  </si>
  <si>
    <t xml:space="preserve"> - почвогрунтов, 1проба</t>
  </si>
  <si>
    <t>Расходы на внутрений транспорт</t>
  </si>
  <si>
    <t>Организация и ликвидация работ</t>
  </si>
  <si>
    <t>НДС 18 %</t>
  </si>
  <si>
    <t>Таблица 92, §3</t>
  </si>
  <si>
    <t>Наблюдения при передвижении по маршруту при составлении инженерно-геологической, гидрогеологической, почвенной, инженерно-экологической карты в масштабе 1:2000-1:1000:</t>
  </si>
  <si>
    <t>§10</t>
  </si>
  <si>
    <t>Таблица 70, §85</t>
  </si>
  <si>
    <t>Таблица 70, §60</t>
  </si>
  <si>
    <t>Таблица 70, §63</t>
  </si>
  <si>
    <t>Лабораторные работы</t>
  </si>
  <si>
    <t xml:space="preserve">I. </t>
  </si>
  <si>
    <t xml:space="preserve">Итого Лабораторные работы </t>
  </si>
  <si>
    <t>Составление технического отчета о результатах выполненных работ, кат.сложности - 1</t>
  </si>
  <si>
    <t>Таблица 87, п.1</t>
  </si>
  <si>
    <t>ИТОГО инженерно-экологических работ</t>
  </si>
  <si>
    <t>Инженерно-экологические изыскания</t>
  </si>
  <si>
    <t xml:space="preserve"> - почвогрунтов почво-грунтов (методами конверта, по диагонали и т.п.), 1 проб</t>
  </si>
  <si>
    <t>(</t>
  </si>
  <si>
    <t>+</t>
  </si>
  <si>
    <t>)*</t>
  </si>
  <si>
    <t>Табл. 9, §5</t>
  </si>
  <si>
    <t>Справочник базовых цен на инженерно-геологические и инженерно-экологические изыскания для строительства                               СБЦ103-(1999)</t>
  </si>
  <si>
    <t>Таблица 4, §1</t>
  </si>
  <si>
    <t>Табл. 10, §4</t>
  </si>
  <si>
    <r>
      <t xml:space="preserve">Единичные определения химического состава грунтов (почв): пробоподготовка для выполнения физико-химических исследований солей тяжелых металлов.              </t>
    </r>
    <r>
      <rPr>
        <i/>
        <sz val="10"/>
        <rFont val="Times New Roman"/>
        <family val="1"/>
      </rPr>
      <t>Измеритель - 1 образец</t>
    </r>
  </si>
  <si>
    <r>
      <t xml:space="preserve">экспресс-определение солей тяжелых металлов ренгенфлюорисцентным методом (1 металл)                            </t>
    </r>
    <r>
      <rPr>
        <i/>
        <sz val="10"/>
        <rFont val="Times New Roman"/>
        <family val="1"/>
      </rPr>
      <t>Измеритель - 1 образец</t>
    </r>
  </si>
  <si>
    <r>
      <t xml:space="preserve">определение нефтяных углеводородов хроматографическим методом                                       </t>
    </r>
    <r>
      <rPr>
        <i/>
        <sz val="10"/>
        <rFont val="Times New Roman"/>
        <family val="1"/>
      </rPr>
      <t>Измеритель - 1 образец</t>
    </r>
  </si>
  <si>
    <t>Ксл</t>
  </si>
  <si>
    <r>
      <t xml:space="preserve">Описание точек наблюдения при составлении инженерно-экологических карт, категория сложности - 2,                        </t>
    </r>
    <r>
      <rPr>
        <i/>
        <sz val="10"/>
        <rFont val="Times New Roman"/>
        <family val="1"/>
      </rPr>
      <t>кол-во точек наблюдения - 1</t>
    </r>
  </si>
  <si>
    <r>
      <t xml:space="preserve">Примечание - </t>
    </r>
    <r>
      <rPr>
        <i/>
        <sz val="10"/>
        <rFont val="Times New Roman"/>
        <family val="1"/>
      </rPr>
      <t xml:space="preserve"> для изысканий со сметной стоимостью до 2 тыс. руб.</t>
    </r>
  </si>
  <si>
    <r>
      <t xml:space="preserve">Радиационное обследование участка площадью: св.1га                                               </t>
    </r>
    <r>
      <rPr>
        <i/>
        <sz val="10"/>
        <rFont val="Times New Roman"/>
        <family val="1"/>
      </rPr>
      <t>Единица измерения, 0,1га</t>
    </r>
  </si>
  <si>
    <t xml:space="preserve">ОУ п.13 </t>
  </si>
  <si>
    <t>6</t>
  </si>
  <si>
    <t>Проектная документация</t>
  </si>
  <si>
    <t>40</t>
  </si>
  <si>
    <t>0,4</t>
  </si>
  <si>
    <t>Рабочаяая документация</t>
  </si>
  <si>
    <t>60</t>
  </si>
  <si>
    <t>0,6</t>
  </si>
  <si>
    <t xml:space="preserve">Итого, рублей </t>
  </si>
  <si>
    <t>а,тыс.руб.</t>
  </si>
  <si>
    <t xml:space="preserve">б,тыс.руб. </t>
  </si>
  <si>
    <t>х, Гкал/ч</t>
  </si>
  <si>
    <t>К1 (РК)</t>
  </si>
  <si>
    <t>Письмо Минстроя РФ  №25760-ЮР/08 от 13.08.2015г., 3 кв. 2015г</t>
  </si>
  <si>
    <t>Стоимость работ с учетом районного коэффициента и коэффициента индекса цен</t>
  </si>
  <si>
    <t xml:space="preserve"> </t>
  </si>
  <si>
    <r>
      <t xml:space="preserve">Рекогносцировочное почвенное обследование при проходимости удовлетворительной:                    </t>
    </r>
    <r>
      <rPr>
        <i/>
        <sz val="10"/>
        <rFont val="Times New Roman"/>
        <family val="1"/>
      </rPr>
      <t>протяженность -  0,9км</t>
    </r>
  </si>
  <si>
    <t xml:space="preserve">  Итого в текущих ценах 4кв.2015 г. с договорным коэффициентом и НДС </t>
  </si>
  <si>
    <t xml:space="preserve"> Итого в текущих ценах 4кв.2015 г. с договорным коэффициентом и НДС </t>
  </si>
  <si>
    <t>К - индексации 4кв.2015</t>
  </si>
  <si>
    <t>К3инф.индекс (Письмо Минстроя РФ  №40538-ЕС/05 от 15.12.2015г.)</t>
  </si>
  <si>
    <t>Смета №2</t>
  </si>
  <si>
    <t>на выполнение инженерно-геодезических изысканий</t>
  </si>
  <si>
    <t xml:space="preserve">                                                    </t>
  </si>
  <si>
    <t>№ п/п в руб.</t>
  </si>
  <si>
    <t>Виды работ</t>
  </si>
  <si>
    <t>Объемы</t>
  </si>
  <si>
    <t>Обоснование стоимости</t>
  </si>
  <si>
    <t>Расчет стоимости, руб.</t>
  </si>
  <si>
    <t xml:space="preserve">Стоимость   руб </t>
  </si>
  <si>
    <t>Исходные данные</t>
  </si>
  <si>
    <t>Общая площадь участков, га</t>
  </si>
  <si>
    <t xml:space="preserve">СУБЦ –2001
табл.9 § 5                                         прим.4 использ. трассопоискового оборудования                                             </t>
  </si>
  <si>
    <t>х</t>
  </si>
  <si>
    <t>Категория сложности - II</t>
  </si>
  <si>
    <t>К исп. Трассопоискового оборудования</t>
  </si>
  <si>
    <t>п.15а ОУ к=</t>
  </si>
  <si>
    <t>п.15д ОУ к=</t>
  </si>
  <si>
    <t>Всего:</t>
  </si>
  <si>
    <t>полевые</t>
  </si>
  <si>
    <t>камеральные</t>
  </si>
  <si>
    <t>Расходы по внутреннему транспорту при расстоянии до объекта до 5 км.</t>
  </si>
  <si>
    <t xml:space="preserve">СБЦ-2001 г.           Таблица 4 пар. 1                       Общих указаний      </t>
  </si>
  <si>
    <t xml:space="preserve">% </t>
  </si>
  <si>
    <t>от</t>
  </si>
  <si>
    <t>Расходы по организации и ликвидации работ на объекте</t>
  </si>
  <si>
    <t>Итого:</t>
  </si>
  <si>
    <t>Стоимость работ с учетом районного коэффициента, коэффициента индекса цен</t>
  </si>
  <si>
    <t xml:space="preserve"> Письмо Минстроя России от 15.12.2015 N 40538-ЕС/05</t>
  </si>
  <si>
    <t>Итого по смете:</t>
  </si>
  <si>
    <t>НДС 18%</t>
  </si>
  <si>
    <t>Итого по смете с НДС:</t>
  </si>
  <si>
    <t>Обоснование</t>
  </si>
  <si>
    <t>Общая цена</t>
  </si>
  <si>
    <t>1991 г.</t>
  </si>
  <si>
    <t>4кв.2015 г.</t>
  </si>
  <si>
    <t>Инженерно-геологические изыскания</t>
  </si>
  <si>
    <t>Смета составлена на основании нормативных документов: "Сборник базовых цен на инженерно-геологические и инженерно-экологические изыскания для строительства", Москва, ПНИИИС Госстроя РФ; "Методическое руководство по определению стоимости инженерных изысканий для строительства", Москва, ПНИИИС Госстроя РФ.</t>
  </si>
  <si>
    <t>К - районный</t>
  </si>
  <si>
    <t>К - индексации</t>
  </si>
  <si>
    <t>Кол-во скважин, шт</t>
  </si>
  <si>
    <t>Глубина проходки, м</t>
  </si>
  <si>
    <t>Общее кол-во скважин, шт</t>
  </si>
  <si>
    <t>Общее количество п. метров</t>
  </si>
  <si>
    <t>Позиция I</t>
  </si>
  <si>
    <r>
      <t xml:space="preserve">Предварительная разбивка скважин, расстояние между сважинами от 200 м.  до 350 м.
II категория сложности                                              скважин,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шт.</t>
    </r>
  </si>
  <si>
    <t xml:space="preserve">Табл.93, 
прим. § 3
</t>
  </si>
  <si>
    <t>Планово-высотная привязка скважин                     II категории</t>
  </si>
  <si>
    <t>Табл.93, 
прим. § 3</t>
  </si>
  <si>
    <t>Колонковое бурение диаметром до 160 мм глубиной до 15м: порода II категории.</t>
  </si>
  <si>
    <t>Табл. 17, §1</t>
  </si>
  <si>
    <t>Отбор монолитов из скважин  в интервале 0-10 м., шт.</t>
  </si>
  <si>
    <t>Табл. 57, §1.</t>
  </si>
  <si>
    <t>Итого по позиции I</t>
  </si>
  <si>
    <t>Расходы по внутреннему транспорту, расстояние до участка изысканий до 5 км.</t>
  </si>
  <si>
    <t>Табл.4§2.</t>
  </si>
  <si>
    <t>8,75% от стоимости полевых работ</t>
  </si>
  <si>
    <t xml:space="preserve">Расходы по организации и ликвидации работ </t>
  </si>
  <si>
    <t>Общие указания, п. 13, примеч.1</t>
  </si>
  <si>
    <t xml:space="preserve">6% от стоимости полевых работ с учётом п. 6 </t>
  </si>
  <si>
    <t>Позиция II</t>
  </si>
  <si>
    <t xml:space="preserve"> Полный комплекс определения физических свойств глинистых грунтов</t>
  </si>
  <si>
    <t>Табл. 63, §28</t>
  </si>
  <si>
    <t>Определение коррозионной активности грунта по отношению к стали.</t>
  </si>
  <si>
    <t xml:space="preserve">Табл. 75 § 1,2,4 </t>
  </si>
  <si>
    <t xml:space="preserve">Коррозийная активность грунтов по отношению к бетону </t>
  </si>
  <si>
    <t>Табл.75 §5</t>
  </si>
  <si>
    <t>Итого по позиции II</t>
  </si>
  <si>
    <t>Позиция III</t>
  </si>
  <si>
    <t>Сбор изучение и систематизация материалов изысканий прошлых лет, 100м.</t>
  </si>
  <si>
    <t>Табл.78 §1</t>
  </si>
  <si>
    <t>Камеральная обработка буровых работ</t>
  </si>
  <si>
    <t>Табл. 82 § 1</t>
  </si>
  <si>
    <t>Камеральная обработка данных лабораторных исследований</t>
  </si>
  <si>
    <t>Табл. 86, §1</t>
  </si>
  <si>
    <t>Итого по позиции III</t>
  </si>
  <si>
    <t>Позиция IV</t>
  </si>
  <si>
    <t>Составление программы работ</t>
  </si>
  <si>
    <t>Табл. 81, §1, прим. 1</t>
  </si>
  <si>
    <t>500.00 * 1.25</t>
  </si>
  <si>
    <t>Составление технического отчёта</t>
  </si>
  <si>
    <t>Табл. 87, §1</t>
  </si>
  <si>
    <t>21% от п.19</t>
  </si>
  <si>
    <t>Итого по позиции IV</t>
  </si>
  <si>
    <t>Стоимость работ инженерно-геологических изысканий с НДС</t>
  </si>
  <si>
    <t>на выполнение кадастровых работ</t>
  </si>
  <si>
    <t>Расчет стоимости</t>
  </si>
  <si>
    <t>Стоимость,  руб.</t>
  </si>
  <si>
    <t>Количество земельных участков</t>
  </si>
  <si>
    <t>Количество категорий земель</t>
  </si>
  <si>
    <t>количество смежных землепользователей</t>
  </si>
  <si>
    <t>Количество муниципальных образований</t>
  </si>
  <si>
    <t>Протяженность трассы. км</t>
  </si>
  <si>
    <t>1 этап: Сбор, анализ исходных материалов.</t>
  </si>
  <si>
    <t>1.1. Этап Сбор исходных материалов и сведений, получение сведений ГКН</t>
  </si>
  <si>
    <t>ОНЗТ-1996г.</t>
  </si>
  <si>
    <t xml:space="preserve">(668*К1а*К2а+49*P/1000)*К4ав* 1,94*12,397674                         </t>
  </si>
  <si>
    <t xml:space="preserve">Количество участков </t>
  </si>
  <si>
    <t xml:space="preserve">Таблица 74 </t>
  </si>
  <si>
    <t>Общая площадь территории, тыс.га</t>
  </si>
  <si>
    <t>Количество смежных землепользователей</t>
  </si>
  <si>
    <t>К1а за колич. участков=1.0+0.10*(n-1)</t>
  </si>
  <si>
    <t>К2а за меньшую площадь=1.0-0,4(2-n)</t>
  </si>
  <si>
    <t>К4ав за колич. смежников=1.0+0.10*n</t>
  </si>
  <si>
    <t>К учета прир.-экон. особенностей</t>
  </si>
  <si>
    <t xml:space="preserve">Приложение 1 п. </t>
  </si>
  <si>
    <t>23,прим.1,2,3</t>
  </si>
  <si>
    <t>Коэффициент-дефлятор</t>
  </si>
  <si>
    <t>Итого по этапу 1.1:</t>
  </si>
  <si>
    <t>ИТОГО по 1-му этапу:</t>
  </si>
  <si>
    <t>2 этап: Оформление прав пользования на земельные участками</t>
  </si>
  <si>
    <t>2.1. Формирование межевых планов земельных участков</t>
  </si>
  <si>
    <t xml:space="preserve">  ОНЗТ-1996г.</t>
  </si>
  <si>
    <t>(1363*К2а*К5а*К6а+3431*L/100*К10в)*1,94*12,397674</t>
  </si>
  <si>
    <t>2.1.1. формирование материалов межевых планов земельных участков</t>
  </si>
  <si>
    <t xml:space="preserve">Таблица 73 </t>
  </si>
  <si>
    <t>Ориентировочное количество участков</t>
  </si>
  <si>
    <t>Протяженность трассы, 100 км</t>
  </si>
  <si>
    <t>К2а за меньшую протяженость=1,0-0,9(1-n)</t>
  </si>
  <si>
    <t>К5а за кол. муниц. Образов.=1.0+0.6*(n-1)</t>
  </si>
  <si>
    <t>где n-количество муниципальных образований</t>
  </si>
  <si>
    <t>К6а за кол-во участков=1.0+0.10(n-1), где n-к-во участков</t>
  </si>
  <si>
    <t>К10в за линейный объект</t>
  </si>
  <si>
    <t>2.1.2. описание и согласование границ</t>
  </si>
  <si>
    <t>Таблица 77</t>
  </si>
  <si>
    <t>(882*К2а+11*L*К5)*1,94*12,397674</t>
  </si>
  <si>
    <t>Протяженность границ, км.</t>
  </si>
  <si>
    <t>К2а за меньшую протяженность=1,0-0,02(40-n)</t>
  </si>
  <si>
    <t>К5в за колич. согл.=1.0+0.10*(n-1)</t>
  </si>
  <si>
    <t>n-количество согласований</t>
  </si>
  <si>
    <t>Итого по этапу 2.1:</t>
  </si>
  <si>
    <t>2.2. Сопровождение постановки на КГУ</t>
  </si>
  <si>
    <t xml:space="preserve"> ОНЗТ-1996г.</t>
  </si>
  <si>
    <t>130*1*8*1,71*12,397674</t>
  </si>
  <si>
    <t>Количество исполнителей</t>
  </si>
  <si>
    <t>Приложение 12</t>
  </si>
  <si>
    <t>Затраты чел/дней</t>
  </si>
  <si>
    <t>Цена 1 чел-дн, руб</t>
  </si>
  <si>
    <t>Итого по этапу 2.2:</t>
  </si>
  <si>
    <t>ИТОГО по 2-му этапу:</t>
  </si>
  <si>
    <t>Итого по этапам:</t>
  </si>
  <si>
    <t>Федеральный закон №117-ФЗ от 07.07.2003г</t>
  </si>
  <si>
    <t>ВСЕГО</t>
  </si>
  <si>
    <t>Спр</t>
  </si>
  <si>
    <t>Стоимость изготовления  проектной документации по договору (без НДС),
рублей</t>
  </si>
  <si>
    <t>4 кв.2015 г.</t>
  </si>
  <si>
    <t>Дата договора на изготовление проектной документации</t>
  </si>
  <si>
    <t>Иизм</t>
  </si>
  <si>
    <t>Индекс изменения стоимости проектных работ для строительства</t>
  </si>
  <si>
    <t>Спр - 2001 г.</t>
  </si>
  <si>
    <t>Стоимость изготовления  проектной документации в ценах 2001 г.,
рублей</t>
  </si>
  <si>
    <t>Сиз</t>
  </si>
  <si>
    <t>Стоимость проведения изыскательских работ по договору (без НДС), рублей</t>
  </si>
  <si>
    <t>Дата договора на проведение изыскательских работ</t>
  </si>
  <si>
    <t>Индекс изменения стоимости изыскательских работ для строительства</t>
  </si>
  <si>
    <t>Сиз - 2001 г.</t>
  </si>
  <si>
    <t>Стоимость проведения изыскательских работ по договору в ценах 2001 г.                               (без НДС), рублей</t>
  </si>
  <si>
    <t>Ki</t>
  </si>
  <si>
    <t>Индекс инфляции на экспертизу проектных работ на 01.01.2015 г. по сравнению с 01.01.2001 г.</t>
  </si>
  <si>
    <t>Индекс инфляции на экспертизу  изыскательских работ на 01.01.2015 г. по сравнению с 01.01.2001 г.</t>
  </si>
  <si>
    <t>Сумма Спд и Сиж (млн. рублей, в ценах 2001 г.)</t>
  </si>
  <si>
    <t>П</t>
  </si>
  <si>
    <t xml:space="preserve">Доля от  суммарной стоимости  проектных и (или) изыскательских работ,
представленных на государственную экспертизу в уровне цен 2001 года,согласно приложению к Постановлению РФ от 05.03.2007 г. № 145 </t>
  </si>
  <si>
    <t>Налог на добавленную стоимость,%</t>
  </si>
  <si>
    <t>Кт</t>
  </si>
  <si>
    <t>Коэффициент трудоемкости экспертизы 
(первичное рассмотрение = 1, повторное = 0,3)</t>
  </si>
  <si>
    <t xml:space="preserve">Коэффициент сложности экспертизы  </t>
  </si>
  <si>
    <t>Сэтек</t>
  </si>
  <si>
    <t>Стоимость проведения экспертизы, рублей</t>
  </si>
  <si>
    <t>рублей (НДС не облагается)</t>
  </si>
  <si>
    <t>рублей</t>
  </si>
  <si>
    <t>Сэтек=(Спр/Иизм*П*Ki* + Спр/Иизм*П*Ki)*Кт*Ксл</t>
  </si>
  <si>
    <t>НДС,       рублей</t>
  </si>
  <si>
    <t>Стоимость работ с НДС,             рублей</t>
  </si>
  <si>
    <t>Инженерно-геодезические изыскания</t>
  </si>
  <si>
    <t>Кадастровые работы</t>
  </si>
  <si>
    <t>Смета № 5</t>
  </si>
  <si>
    <t>Экспертиза проектной документации</t>
  </si>
  <si>
    <t>Расчет</t>
  </si>
  <si>
    <t>Итого в текущих ценах 4кв.2015г с Договорным коэффициентом и НДС</t>
  </si>
  <si>
    <t>Создание инженерно-топографического плана масштаба 1:500 с сечением рельефа  через 0.5 м  на застроенной территории</t>
  </si>
  <si>
    <t>площадь участка,га</t>
  </si>
  <si>
    <t xml:space="preserve">Стоимость,   руб </t>
  </si>
  <si>
    <t>Категория сложности здания</t>
  </si>
  <si>
    <t>Категория сложности работ</t>
  </si>
  <si>
    <t>Объем исследуемого здания (ссоружений),м3</t>
  </si>
  <si>
    <t>Доля выполняемого обследования от полного объёма работ, % (В)</t>
  </si>
  <si>
    <t>1. Обследование</t>
  </si>
  <si>
    <t>Базовая цена работ</t>
  </si>
  <si>
    <t>Таблица 8</t>
  </si>
  <si>
    <r>
      <t>k</t>
    </r>
    <r>
      <rPr>
        <vertAlign val="subscript"/>
        <sz val="10"/>
        <rFont val="Times New Roman"/>
        <family val="1"/>
      </rPr>
      <t xml:space="preserve">2 </t>
    </r>
  </si>
  <si>
    <t xml:space="preserve"> - Обследование без прекращения производства т.3</t>
  </si>
  <si>
    <r>
      <t>k</t>
    </r>
    <r>
      <rPr>
        <vertAlign val="subscript"/>
        <sz val="10"/>
        <rFont val="Times New Roman"/>
        <family val="1"/>
      </rPr>
      <t xml:space="preserve">20 </t>
    </r>
    <r>
      <rPr>
        <sz val="10"/>
        <rFont val="Times New Roman"/>
        <family val="1"/>
      </rPr>
      <t xml:space="preserve"> </t>
    </r>
  </si>
  <si>
    <t xml:space="preserve"> - Инструментально-приборное обследование и диагностика таб.3</t>
  </si>
  <si>
    <r>
      <t>k</t>
    </r>
    <r>
      <rPr>
        <vertAlign val="subscript"/>
        <sz val="10"/>
        <rFont val="Times New Roman"/>
        <family val="1"/>
      </rPr>
      <t>у</t>
    </r>
  </si>
  <si>
    <t>Коэффициент усложняющих факторов при выполнении работ ( п. 2.5)</t>
  </si>
  <si>
    <r>
      <t>k</t>
    </r>
    <r>
      <rPr>
        <vertAlign val="subscript"/>
        <sz val="10"/>
        <rFont val="Times New Roman"/>
        <family val="1"/>
      </rPr>
      <t>v</t>
    </r>
    <r>
      <rPr>
        <sz val="10"/>
        <rFont val="Times New Roman"/>
        <family val="1"/>
      </rPr>
      <t xml:space="preserve"> </t>
    </r>
  </si>
  <si>
    <t xml:space="preserve"> - Коэффициент, учитывающий малые строительный объем (табл.4)</t>
  </si>
  <si>
    <r>
      <t>k</t>
    </r>
    <r>
      <rPr>
        <vertAlign val="subscript"/>
        <sz val="10"/>
        <rFont val="Times New Roman"/>
        <family val="1"/>
      </rPr>
      <t>д</t>
    </r>
    <r>
      <rPr>
        <sz val="10"/>
        <rFont val="Times New Roman"/>
        <family val="1"/>
      </rPr>
      <t xml:space="preserve"> </t>
    </r>
  </si>
  <si>
    <t>Коэффициент, учитывающий отсутствие технической  документации (табл. 5)</t>
  </si>
  <si>
    <r>
      <t>k</t>
    </r>
    <r>
      <rPr>
        <i/>
        <vertAlign val="subscript"/>
        <sz val="10"/>
        <rFont val="Times New Roman"/>
        <family val="1"/>
      </rPr>
      <t>п</t>
    </r>
  </si>
  <si>
    <t xml:space="preserve"> - Коэффициент перехода от цен для работ по промзданиям к ценам работ по сооружениям (п.2.8)</t>
  </si>
  <si>
    <t xml:space="preserve">  Районный коэффициент </t>
  </si>
  <si>
    <t>ИТОГО по обследованию:</t>
  </si>
  <si>
    <t xml:space="preserve"> 2.Оценка технического состояния</t>
  </si>
  <si>
    <t>Таблица 11</t>
  </si>
  <si>
    <t>ИТОГО по оценке технического состояния</t>
  </si>
  <si>
    <t>ИТОГО по п.п.1, 2</t>
  </si>
  <si>
    <t>3. Стоимость преддоговорных работ</t>
  </si>
  <si>
    <r>
      <t>k</t>
    </r>
    <r>
      <rPr>
        <i/>
        <vertAlign val="subscript"/>
        <sz val="10"/>
        <rFont val="Times New Roman"/>
        <family val="1"/>
      </rPr>
      <t>пд</t>
    </r>
  </si>
  <si>
    <t xml:space="preserve">           п. 2.12                                             </t>
  </si>
  <si>
    <t>ИТОГО :</t>
  </si>
  <si>
    <t xml:space="preserve"> НДС</t>
  </si>
  <si>
    <t>ВСЕГО стоимость в текущих ценах с НДС</t>
  </si>
  <si>
    <t>количество зданий</t>
  </si>
  <si>
    <t xml:space="preserve">Письмо Минстроя РФ  №40538-ЕС/05 от 15.12.2015г. </t>
  </si>
  <si>
    <r>
      <t xml:space="preserve">Коэффициент индексации на 4 кв 2015 г.       </t>
    </r>
    <r>
      <rPr>
        <i/>
        <sz val="10"/>
        <rFont val="Times New Roman"/>
        <family val="1"/>
      </rPr>
      <t xml:space="preserve">                          </t>
    </r>
  </si>
  <si>
    <t>Письмо Минстроя РФ  №40538-ЕС/05 от 15.12.2015г.</t>
  </si>
  <si>
    <t>Смета №6</t>
  </si>
  <si>
    <t>Обследование</t>
  </si>
  <si>
    <t>Смета № 6</t>
  </si>
  <si>
    <t>Котельная 26,2 Гкал/ч</t>
  </si>
  <si>
    <t xml:space="preserve">СБЦ НА ПРОЕКТНЫЕ РАБОТЫ ДЛЯ СТРОИТЕЛЬСТВА.  СБЦП07 Коммунальные инженерные сети и сооружения 2012 г. Таблица № 15 §2. Котельная, топливо – газ (мазут), суммарной теплопроизводительностью: от 10 до 50 Гкал/ч
</t>
  </si>
  <si>
    <t>0,3793</t>
  </si>
  <si>
    <t>УТВЕРЖДАЮ</t>
  </si>
  <si>
    <t>Директор по строительству</t>
  </si>
  <si>
    <t>ОАО "АТЭК"</t>
  </si>
  <si>
    <t>_________________________ Е.И. Исаев</t>
  </si>
  <si>
    <t>"_____" _____________________ 2016 г.</t>
  </si>
  <si>
    <t>Наименование проектной организации:</t>
  </si>
  <si>
    <t>Наименование организации-заказчика: ОАО "АТЭК"</t>
  </si>
  <si>
    <t xml:space="preserve">Наименование объекта: «Техническое перевооружение котельной по ул. Рашпилевская, 329/1  в г. Краснодаре»                                                                        
</t>
  </si>
  <si>
    <t>Проверил</t>
  </si>
  <si>
    <t>Р.В. Шмыгов</t>
  </si>
  <si>
    <t>Смета №1</t>
  </si>
  <si>
    <t xml:space="preserve"> на проектные  работы</t>
  </si>
  <si>
    <t>на выполнение инженерно-геологических изысканий</t>
  </si>
  <si>
    <t>Смета №3</t>
  </si>
  <si>
    <t>Смета №4</t>
  </si>
  <si>
    <t>на инженерно-экологические изыскания</t>
  </si>
  <si>
    <t>Смета №5</t>
  </si>
  <si>
    <t>на выполнение обследования</t>
  </si>
  <si>
    <t xml:space="preserve">                                                                          Р.В. Шмыгов</t>
  </si>
  <si>
    <t xml:space="preserve">                                                                                   _________________________ Е.И. Исаев</t>
  </si>
  <si>
    <t xml:space="preserve">                                                                                    "_____" _____________________ 2016 г.</t>
  </si>
  <si>
    <t xml:space="preserve">                                                                                    ОАО "АТЭК"</t>
  </si>
  <si>
    <t xml:space="preserve">                                                                                    Директор по строительству</t>
  </si>
  <si>
    <t xml:space="preserve">                                                                                    УТВЕРЖДАЮ</t>
  </si>
  <si>
    <t>Расчет стоимости проведения негосударственной экспертизы</t>
  </si>
  <si>
    <t xml:space="preserve">СУБЦ –2001
п.13 Общих указаний               </t>
  </si>
  <si>
    <r>
      <t xml:space="preserve">Глава 2, п.5 </t>
    </r>
    <r>
      <rPr>
        <i/>
        <sz val="10"/>
        <rFont val="Times New Roman"/>
        <family val="1"/>
      </rPr>
      <t>(наблюдение при составлении карт узких полос вдоль трасс линейных сооружений)</t>
    </r>
  </si>
  <si>
    <r>
      <t xml:space="preserve">§7
примечание 1 </t>
    </r>
    <r>
      <rPr>
        <i/>
        <sz val="10"/>
        <rFont val="Times New Roman"/>
        <family val="1"/>
      </rPr>
      <t>(отбор объединенной пробы)</t>
    </r>
  </si>
  <si>
    <r>
      <t>*kv*kу*kд*k</t>
    </r>
    <r>
      <rPr>
        <i/>
        <sz val="10"/>
        <rFont val="Times New Roman"/>
        <family val="1"/>
      </rPr>
      <t>п*</t>
    </r>
    <r>
      <rPr>
        <sz val="10"/>
        <rFont val="Times New Roman"/>
        <family val="1"/>
      </rPr>
      <t>k</t>
    </r>
    <r>
      <rPr>
        <i/>
        <sz val="10"/>
        <rFont val="Times New Roman"/>
        <family val="1"/>
      </rPr>
      <t>инд*</t>
    </r>
    <r>
      <rPr>
        <sz val="10"/>
        <rFont val="Times New Roman"/>
        <family val="1"/>
      </rPr>
      <t>k</t>
    </r>
    <r>
      <rPr>
        <i/>
        <sz val="10"/>
        <rFont val="Times New Roman"/>
        <family val="1"/>
      </rPr>
      <t>рк*V/100</t>
    </r>
  </si>
  <si>
    <r>
      <t>k</t>
    </r>
    <r>
      <rPr>
        <i/>
        <sz val="10"/>
        <rFont val="Times New Roman"/>
        <family val="1"/>
      </rPr>
      <t>инд</t>
    </r>
  </si>
  <si>
    <r>
      <t>k</t>
    </r>
    <r>
      <rPr>
        <i/>
        <sz val="10"/>
        <rFont val="Times New Roman"/>
        <family val="1"/>
      </rPr>
      <t>рк</t>
    </r>
  </si>
  <si>
    <r>
      <t>*k</t>
    </r>
    <r>
      <rPr>
        <i/>
        <sz val="10"/>
        <rFont val="Times New Roman"/>
        <family val="1"/>
      </rPr>
      <t>пд</t>
    </r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</si>
</sst>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(* #,##0.00_);_(* \(#,##0.00\);_(* &quot;-&quot;??_);_(@_)"/>
    <numFmt numFmtId="174" formatCode="_-* #,##0.00000_р_._-;\-* #,##0.00000_р_._-;_-* &quot;-&quot;??_р_._-;_-@_-"/>
    <numFmt numFmtId="175" formatCode="0.0"/>
    <numFmt numFmtId="176" formatCode="#,##0.0"/>
    <numFmt numFmtId="177" formatCode="0.0000"/>
    <numFmt numFmtId="178" formatCode="0.00000"/>
    <numFmt numFmtId="179" formatCode="[$-FC19]d\ mmmm\ yyyy\ &quot;г.&quot;"/>
    <numFmt numFmtId="180" formatCode="_-* #,##0.000000_р_._-;\-* #,##0.000000_р_._-;_-* &quot;-&quot;??_р_._-;_-@_-"/>
    <numFmt numFmtId="181" formatCode="_-* #,##0.0000_р_._-;\-* #,##0.0000_р_._-;_-* &quot;-&quot;??_р_._-;_-@_-"/>
    <numFmt numFmtId="182" formatCode="_-* #,##0.000_р_._-;\-* #,##0.000_р_._-;_-* &quot;-&quot;??_р_._-;_-@_-"/>
    <numFmt numFmtId="183" formatCode="#,##0.000"/>
    <numFmt numFmtId="184" formatCode="#,##0.0000"/>
    <numFmt numFmtId="185" formatCode="0.00000000"/>
    <numFmt numFmtId="186" formatCode="0.0000000"/>
    <numFmt numFmtId="187" formatCode="0.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dd/mm/yyyy&quot; г.&quot;"/>
    <numFmt numFmtId="194" formatCode="#,##0.00000"/>
    <numFmt numFmtId="195" formatCode="#,##0.000000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(* #,##0.000000000_);_(* \(#,##0.000000000\);_(* &quot;-&quot;??_);_(@_)"/>
    <numFmt numFmtId="207" formatCode="0.000000000000000"/>
    <numFmt numFmtId="208" formatCode="0.000000000000000000"/>
    <numFmt numFmtId="209" formatCode="_-* #,##0\ _р_._-;\-* #,##0\ _р_._-;_-* &quot;-&quot;\ 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vertAlign val="subscript"/>
      <sz val="10"/>
      <name val="Times New Roman"/>
      <family val="1"/>
    </font>
    <font>
      <i/>
      <vertAlign val="sub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4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D60093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 style="medium"/>
      <top/>
      <bottom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>
        <color indexed="8"/>
      </right>
      <top/>
      <bottom style="thin"/>
    </border>
    <border>
      <left style="medium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 style="thin"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0" borderId="0" applyNumberFormat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6">
    <xf numFmtId="0" fontId="0" fillId="0" borderId="0" xfId="0" applyAlignment="1">
      <alignment/>
    </xf>
    <xf numFmtId="49" fontId="3" fillId="0" borderId="10" xfId="57" applyNumberFormat="1" applyFont="1" applyBorder="1" applyAlignment="1">
      <alignment horizontal="left" vertical="top" wrapText="1" indent="1"/>
      <protection/>
    </xf>
    <xf numFmtId="0" fontId="3" fillId="0" borderId="10" xfId="57" applyNumberFormat="1" applyFont="1" applyBorder="1" applyAlignment="1">
      <alignment horizontal="left" wrapText="1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  <xf numFmtId="173" fontId="3" fillId="0" borderId="0" xfId="74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171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49" fontId="3" fillId="0" borderId="0" xfId="57" applyNumberFormat="1" applyFont="1" applyAlignment="1">
      <alignment wrapText="1"/>
      <protection/>
    </xf>
    <xf numFmtId="2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171" fontId="3" fillId="0" borderId="0" xfId="74" applyNumberFormat="1" applyFont="1" applyAlignment="1">
      <alignment/>
    </xf>
    <xf numFmtId="2" fontId="3" fillId="0" borderId="0" xfId="74" applyNumberFormat="1" applyFont="1" applyBorder="1" applyAlignment="1">
      <alignment/>
    </xf>
    <xf numFmtId="4" fontId="51" fillId="0" borderId="0" xfId="0" applyNumberFormat="1" applyFont="1" applyAlignment="1">
      <alignment vertical="center"/>
    </xf>
    <xf numFmtId="0" fontId="3" fillId="0" borderId="11" xfId="57" applyNumberFormat="1" applyFont="1" applyBorder="1" applyAlignment="1">
      <alignment horizontal="left" wrapText="1"/>
      <protection/>
    </xf>
    <xf numFmtId="49" fontId="3" fillId="0" borderId="10" xfId="57" applyNumberFormat="1" applyFont="1" applyBorder="1" applyAlignment="1">
      <alignment wrapText="1"/>
      <protection/>
    </xf>
    <xf numFmtId="2" fontId="3" fillId="0" borderId="10" xfId="57" applyNumberFormat="1" applyFont="1" applyBorder="1" applyAlignment="1">
      <alignment horizontal="center" wrapText="1"/>
      <protection/>
    </xf>
    <xf numFmtId="49" fontId="3" fillId="0" borderId="10" xfId="57" applyNumberFormat="1" applyFont="1" applyBorder="1" applyAlignment="1">
      <alignment horizont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left" vertical="center" wrapText="1"/>
      <protection/>
    </xf>
    <xf numFmtId="0" fontId="3" fillId="0" borderId="12" xfId="57" applyFont="1" applyBorder="1" applyAlignment="1">
      <alignment horizontal="center" vertical="top" wrapText="1"/>
      <protection/>
    </xf>
    <xf numFmtId="0" fontId="3" fillId="0" borderId="0" xfId="0" applyFont="1" applyAlignment="1">
      <alignment horizontal="left"/>
    </xf>
    <xf numFmtId="0" fontId="3" fillId="0" borderId="13" xfId="57" applyFont="1" applyBorder="1" applyAlignment="1">
      <alignment horizontal="left" vertical="top" wrapText="1"/>
      <protection/>
    </xf>
    <xf numFmtId="0" fontId="3" fillId="0" borderId="0" xfId="57" applyFont="1">
      <alignment/>
      <protection/>
    </xf>
    <xf numFmtId="0" fontId="3" fillId="0" borderId="10" xfId="57" applyFont="1" applyBorder="1" applyAlignment="1">
      <alignment horizontal="center" vertical="top" wrapText="1"/>
      <protection/>
    </xf>
    <xf numFmtId="0" fontId="3" fillId="0" borderId="14" xfId="57" applyFont="1" applyBorder="1" applyAlignment="1">
      <alignment horizontal="center" vertical="top" wrapText="1"/>
      <protection/>
    </xf>
    <xf numFmtId="0" fontId="3" fillId="0" borderId="15" xfId="57" applyFont="1" applyBorder="1" applyAlignment="1">
      <alignment horizontal="center" vertical="top" wrapText="1"/>
      <protection/>
    </xf>
    <xf numFmtId="0" fontId="3" fillId="0" borderId="16" xfId="57" applyFont="1" applyBorder="1" applyAlignment="1">
      <alignment horizontal="center" vertical="top" wrapText="1"/>
      <protection/>
    </xf>
    <xf numFmtId="0" fontId="3" fillId="0" borderId="12" xfId="57" applyFont="1" applyBorder="1">
      <alignment/>
      <protection/>
    </xf>
    <xf numFmtId="0" fontId="4" fillId="0" borderId="0" xfId="57" applyFont="1" applyBorder="1" applyAlignment="1">
      <alignment horizontal="left" vertical="center" wrapText="1"/>
      <protection/>
    </xf>
    <xf numFmtId="0" fontId="3" fillId="0" borderId="0" xfId="57" applyFont="1" applyBorder="1">
      <alignment/>
      <protection/>
    </xf>
    <xf numFmtId="0" fontId="4" fillId="0" borderId="0" xfId="57" applyFont="1" applyBorder="1" applyAlignment="1">
      <alignment horizontal="center" vertical="center" wrapText="1"/>
      <protection/>
    </xf>
    <xf numFmtId="0" fontId="3" fillId="0" borderId="17" xfId="57" applyFont="1" applyBorder="1" applyAlignment="1">
      <alignment horizontal="left" vertical="top" wrapText="1"/>
      <protection/>
    </xf>
    <xf numFmtId="0" fontId="3" fillId="0" borderId="18" xfId="57" applyFont="1" applyBorder="1" applyAlignment="1">
      <alignment horizontal="center" vertical="top" wrapText="1"/>
      <protection/>
    </xf>
    <xf numFmtId="0" fontId="3" fillId="0" borderId="17" xfId="57" applyFont="1" applyBorder="1" applyAlignment="1">
      <alignment horizontal="center" vertical="top" wrapText="1"/>
      <protection/>
    </xf>
    <xf numFmtId="0" fontId="3" fillId="0" borderId="0" xfId="57" applyFont="1" applyBorder="1" applyAlignment="1">
      <alignment horizontal="center" vertical="top" wrapText="1"/>
      <protection/>
    </xf>
    <xf numFmtId="0" fontId="3" fillId="0" borderId="19" xfId="57" applyFont="1" applyBorder="1" applyAlignment="1">
      <alignment horizontal="center" vertical="top" wrapText="1"/>
      <protection/>
    </xf>
    <xf numFmtId="0" fontId="3" fillId="0" borderId="20" xfId="57" applyFont="1" applyBorder="1" applyAlignment="1">
      <alignment horizontal="center" vertical="top" wrapText="1"/>
      <protection/>
    </xf>
    <xf numFmtId="0" fontId="3" fillId="0" borderId="13" xfId="57" applyFont="1" applyBorder="1" applyAlignment="1">
      <alignment horizontal="center" wrapText="1"/>
      <protection/>
    </xf>
    <xf numFmtId="0" fontId="3" fillId="0" borderId="21" xfId="57" applyFont="1" applyBorder="1" applyAlignment="1">
      <alignment horizontal="center" wrapText="1"/>
      <protection/>
    </xf>
    <xf numFmtId="0" fontId="3" fillId="0" borderId="22" xfId="57" applyFont="1" applyBorder="1" applyAlignment="1">
      <alignment horizontal="left" vertical="top" wrapText="1"/>
      <protection/>
    </xf>
    <xf numFmtId="0" fontId="3" fillId="0" borderId="23" xfId="57" applyFont="1" applyBorder="1" applyAlignment="1">
      <alignment horizontal="center" vertical="top" wrapText="1"/>
      <protection/>
    </xf>
    <xf numFmtId="0" fontId="3" fillId="0" borderId="13" xfId="57" applyFont="1" applyBorder="1" applyAlignment="1">
      <alignment horizontal="center" vertical="top" wrapText="1"/>
      <protection/>
    </xf>
    <xf numFmtId="0" fontId="3" fillId="0" borderId="21" xfId="57" applyFont="1" applyBorder="1" applyAlignment="1">
      <alignment horizontal="center" vertical="top" wrapText="1"/>
      <protection/>
    </xf>
    <xf numFmtId="0" fontId="3" fillId="0" borderId="15" xfId="57" applyFont="1" applyBorder="1" applyAlignment="1">
      <alignment horizontal="left" vertical="top" wrapText="1"/>
      <protection/>
    </xf>
    <xf numFmtId="0" fontId="3" fillId="0" borderId="12" xfId="57" applyFont="1" applyBorder="1" applyAlignment="1">
      <alignment horizontal="left" vertical="top" wrapText="1"/>
      <protection/>
    </xf>
    <xf numFmtId="0" fontId="3" fillId="0" borderId="19" xfId="57" applyFont="1" applyBorder="1" applyAlignment="1">
      <alignment horizontal="left" vertical="top" wrapText="1"/>
      <protection/>
    </xf>
    <xf numFmtId="0" fontId="3" fillId="0" borderId="23" xfId="57" applyFont="1" applyBorder="1" applyAlignment="1">
      <alignment horizontal="left" vertical="top" wrapText="1"/>
      <protection/>
    </xf>
    <xf numFmtId="0" fontId="3" fillId="0" borderId="18" xfId="57" applyFont="1" applyBorder="1" applyAlignment="1">
      <alignment horizontal="left" vertical="top" wrapText="1"/>
      <protection/>
    </xf>
    <xf numFmtId="0" fontId="3" fillId="0" borderId="0" xfId="57" applyFont="1" applyBorder="1" applyAlignment="1">
      <alignment horizontal="left" vertical="top" wrapText="1"/>
      <protection/>
    </xf>
    <xf numFmtId="0" fontId="4" fillId="0" borderId="11" xfId="57" applyFont="1" applyBorder="1" applyAlignment="1">
      <alignment horizontal="left" vertical="top" wrapText="1"/>
      <protection/>
    </xf>
    <xf numFmtId="0" fontId="3" fillId="0" borderId="11" xfId="57" applyFont="1" applyBorder="1" applyAlignment="1">
      <alignment horizontal="right" vertical="top" wrapText="1"/>
      <protection/>
    </xf>
    <xf numFmtId="0" fontId="3" fillId="0" borderId="24" xfId="57" applyFont="1" applyBorder="1" applyAlignment="1">
      <alignment horizontal="right" vertical="top" wrapText="1"/>
      <protection/>
    </xf>
    <xf numFmtId="0" fontId="3" fillId="0" borderId="14" xfId="57" applyFont="1" applyBorder="1" applyAlignment="1">
      <alignment horizontal="right" vertical="top" wrapText="1"/>
      <protection/>
    </xf>
    <xf numFmtId="0" fontId="3" fillId="0" borderId="17" xfId="57" applyFont="1" applyBorder="1" applyAlignment="1">
      <alignment horizontal="right" vertical="top" wrapText="1"/>
      <protection/>
    </xf>
    <xf numFmtId="0" fontId="3" fillId="0" borderId="18" xfId="57" applyFont="1" applyBorder="1" applyAlignment="1">
      <alignment horizontal="right" vertical="top" wrapText="1"/>
      <protection/>
    </xf>
    <xf numFmtId="0" fontId="3" fillId="0" borderId="0" xfId="57" applyFont="1" applyBorder="1" applyAlignment="1">
      <alignment horizontal="right" vertical="top" wrapText="1"/>
      <protection/>
    </xf>
    <xf numFmtId="0" fontId="3" fillId="0" borderId="19" xfId="57" applyFont="1" applyBorder="1" applyAlignment="1">
      <alignment horizontal="right" vertical="top" wrapText="1"/>
      <protection/>
    </xf>
    <xf numFmtId="0" fontId="3" fillId="0" borderId="13" xfId="57" applyFont="1" applyBorder="1" applyAlignment="1">
      <alignment horizontal="right" vertical="top" wrapText="1"/>
      <protection/>
    </xf>
    <xf numFmtId="0" fontId="3" fillId="0" borderId="20" xfId="57" applyFont="1" applyBorder="1" applyAlignment="1">
      <alignment horizontal="right" vertical="top" wrapText="1"/>
      <protection/>
    </xf>
    <xf numFmtId="0" fontId="3" fillId="0" borderId="21" xfId="57" applyFont="1" applyBorder="1" applyAlignment="1">
      <alignment horizontal="right" vertical="top" wrapText="1"/>
      <protection/>
    </xf>
    <xf numFmtId="0" fontId="3" fillId="0" borderId="11" xfId="57" applyFont="1" applyBorder="1" applyAlignment="1">
      <alignment horizontal="left" vertical="top" wrapText="1"/>
      <protection/>
    </xf>
    <xf numFmtId="0" fontId="3" fillId="0" borderId="17" xfId="57" applyFont="1" applyBorder="1">
      <alignment/>
      <protection/>
    </xf>
    <xf numFmtId="2" fontId="3" fillId="0" borderId="12" xfId="57" applyNumberFormat="1" applyFont="1" applyBorder="1" applyAlignment="1">
      <alignment horizontal="center" vertical="top" wrapText="1"/>
      <protection/>
    </xf>
    <xf numFmtId="0" fontId="3" fillId="0" borderId="14" xfId="57" applyFont="1" applyBorder="1">
      <alignment/>
      <protection/>
    </xf>
    <xf numFmtId="0" fontId="3" fillId="0" borderId="11" xfId="57" applyFont="1" applyBorder="1" applyAlignment="1">
      <alignment wrapText="1"/>
      <protection/>
    </xf>
    <xf numFmtId="0" fontId="3" fillId="0" borderId="24" xfId="57" applyFont="1" applyBorder="1" applyAlignment="1">
      <alignment wrapText="1"/>
      <protection/>
    </xf>
    <xf numFmtId="0" fontId="3" fillId="0" borderId="13" xfId="57" applyFont="1" applyBorder="1">
      <alignment/>
      <protection/>
    </xf>
    <xf numFmtId="0" fontId="3" fillId="0" borderId="0" xfId="0" applyFont="1" applyAlignment="1">
      <alignment/>
    </xf>
    <xf numFmtId="0" fontId="3" fillId="0" borderId="24" xfId="57" applyFont="1" applyBorder="1" applyAlignment="1">
      <alignment horizontal="center" vertical="top" wrapText="1"/>
      <protection/>
    </xf>
    <xf numFmtId="0" fontId="3" fillId="0" borderId="11" xfId="57" applyFont="1" applyBorder="1" applyAlignment="1">
      <alignment horizontal="center" vertical="top" wrapText="1"/>
      <protection/>
    </xf>
    <xf numFmtId="0" fontId="3" fillId="0" borderId="17" xfId="57" applyFont="1" applyBorder="1" applyAlignment="1">
      <alignment horizontal="center" wrapText="1"/>
      <protection/>
    </xf>
    <xf numFmtId="0" fontId="3" fillId="0" borderId="0" xfId="57" applyFont="1" applyBorder="1" applyAlignment="1">
      <alignment horizontal="center" wrapText="1"/>
      <protection/>
    </xf>
    <xf numFmtId="0" fontId="3" fillId="0" borderId="10" xfId="57" applyFont="1" applyBorder="1" applyAlignment="1">
      <alignment horizontal="left" vertical="top" wrapText="1"/>
      <protection/>
    </xf>
    <xf numFmtId="0" fontId="3" fillId="0" borderId="14" xfId="57" applyFont="1" applyBorder="1" applyAlignment="1">
      <alignment vertical="top" wrapText="1"/>
      <protection/>
    </xf>
    <xf numFmtId="10" fontId="3" fillId="0" borderId="24" xfId="57" applyNumberFormat="1" applyFont="1" applyBorder="1" applyAlignment="1">
      <alignment horizontal="center" vertical="top" wrapText="1"/>
      <protection/>
    </xf>
    <xf numFmtId="9" fontId="3" fillId="0" borderId="18" xfId="57" applyNumberFormat="1" applyFont="1" applyBorder="1" applyAlignment="1">
      <alignment horizontal="center" vertical="top" wrapText="1"/>
      <protection/>
    </xf>
    <xf numFmtId="0" fontId="3" fillId="0" borderId="24" xfId="57" applyFont="1" applyBorder="1" applyAlignment="1">
      <alignment horizontal="left" vertical="top" wrapText="1"/>
      <protection/>
    </xf>
    <xf numFmtId="0" fontId="3" fillId="0" borderId="14" xfId="57" applyFont="1" applyBorder="1" applyAlignment="1">
      <alignment horizontal="left" vertical="top" wrapText="1"/>
      <protection/>
    </xf>
    <xf numFmtId="0" fontId="3" fillId="0" borderId="12" xfId="57" applyFont="1" applyBorder="1" applyAlignment="1">
      <alignment horizontal="center" vertical="top"/>
      <protection/>
    </xf>
    <xf numFmtId="2" fontId="3" fillId="0" borderId="10" xfId="57" applyNumberFormat="1" applyFont="1" applyBorder="1" applyAlignment="1">
      <alignment horizontal="center" vertical="top" wrapText="1"/>
      <protection/>
    </xf>
    <xf numFmtId="2" fontId="3" fillId="0" borderId="15" xfId="57" applyNumberFormat="1" applyFont="1" applyBorder="1" applyAlignment="1">
      <alignment horizontal="center" wrapText="1"/>
      <protection/>
    </xf>
    <xf numFmtId="2" fontId="3" fillId="0" borderId="12" xfId="57" applyNumberFormat="1" applyFont="1" applyBorder="1" applyAlignment="1">
      <alignment horizontal="center" wrapText="1"/>
      <protection/>
    </xf>
    <xf numFmtId="2" fontId="3" fillId="0" borderId="19" xfId="57" applyNumberFormat="1" applyFont="1" applyBorder="1" applyAlignment="1">
      <alignment horizontal="center" wrapText="1"/>
      <protection/>
    </xf>
    <xf numFmtId="177" fontId="3" fillId="0" borderId="0" xfId="57" applyNumberFormat="1" applyFont="1" applyBorder="1" applyAlignment="1">
      <alignment horizontal="center" vertical="top" wrapText="1"/>
      <protection/>
    </xf>
    <xf numFmtId="2" fontId="3" fillId="0" borderId="0" xfId="57" applyNumberFormat="1" applyFont="1">
      <alignment/>
      <protection/>
    </xf>
    <xf numFmtId="2" fontId="3" fillId="0" borderId="18" xfId="57" applyNumberFormat="1" applyFont="1" applyBorder="1">
      <alignment/>
      <protection/>
    </xf>
    <xf numFmtId="2" fontId="3" fillId="0" borderId="15" xfId="57" applyNumberFormat="1" applyFont="1" applyBorder="1" applyAlignment="1">
      <alignment horizontal="center" vertical="top" wrapText="1"/>
      <protection/>
    </xf>
    <xf numFmtId="2" fontId="3" fillId="0" borderId="15" xfId="57" applyNumberFormat="1" applyFont="1" applyBorder="1" applyAlignment="1">
      <alignment horizontal="center"/>
      <protection/>
    </xf>
    <xf numFmtId="2" fontId="3" fillId="0" borderId="0" xfId="57" applyNumberFormat="1" applyFont="1" applyBorder="1" applyAlignment="1">
      <alignment horizontal="center" vertical="top" wrapText="1"/>
      <protection/>
    </xf>
    <xf numFmtId="2" fontId="3" fillId="0" borderId="17" xfId="57" applyNumberFormat="1" applyFont="1" applyBorder="1" applyAlignment="1">
      <alignment horizontal="right" vertical="top" wrapText="1"/>
      <protection/>
    </xf>
    <xf numFmtId="2" fontId="3" fillId="0" borderId="22" xfId="57" applyNumberFormat="1" applyFont="1" applyBorder="1" applyAlignment="1">
      <alignment horizontal="center" vertical="top" wrapText="1"/>
      <protection/>
    </xf>
    <xf numFmtId="49" fontId="3" fillId="0" borderId="15" xfId="57" applyNumberFormat="1" applyFont="1" applyBorder="1" applyAlignment="1">
      <alignment horizontal="center" wrapText="1"/>
      <protection/>
    </xf>
    <xf numFmtId="49" fontId="3" fillId="0" borderId="11" xfId="57" applyNumberFormat="1" applyFont="1" applyBorder="1" applyAlignment="1">
      <alignment wrapText="1"/>
      <protection/>
    </xf>
    <xf numFmtId="49" fontId="3" fillId="0" borderId="24" xfId="57" applyNumberFormat="1" applyFont="1" applyBorder="1" applyAlignment="1">
      <alignment wrapText="1"/>
      <protection/>
    </xf>
    <xf numFmtId="49" fontId="3" fillId="0" borderId="15" xfId="57" applyNumberFormat="1" applyFont="1" applyBorder="1" applyAlignment="1">
      <alignment wrapText="1"/>
      <protection/>
    </xf>
    <xf numFmtId="49" fontId="3" fillId="0" borderId="11" xfId="57" applyNumberFormat="1" applyFont="1" applyBorder="1" applyAlignment="1">
      <alignment horizontal="left" wrapText="1"/>
      <protection/>
    </xf>
    <xf numFmtId="49" fontId="3" fillId="0" borderId="21" xfId="57" applyNumberFormat="1" applyFont="1" applyBorder="1" applyAlignment="1">
      <alignment wrapText="1"/>
      <protection/>
    </xf>
    <xf numFmtId="49" fontId="3" fillId="0" borderId="16" xfId="57" applyNumberFormat="1" applyFont="1" applyBorder="1" applyAlignment="1">
      <alignment horizontal="left" wrapText="1"/>
      <protection/>
    </xf>
    <xf numFmtId="49" fontId="3" fillId="0" borderId="16" xfId="57" applyNumberFormat="1" applyFont="1" applyBorder="1" applyAlignment="1">
      <alignment wrapText="1"/>
      <protection/>
    </xf>
    <xf numFmtId="4" fontId="3" fillId="0" borderId="10" xfId="57" applyNumberFormat="1" applyFont="1" applyBorder="1" applyAlignment="1">
      <alignment horizontal="right" wrapText="1"/>
      <protection/>
    </xf>
    <xf numFmtId="4" fontId="3" fillId="0" borderId="19" xfId="57" applyNumberFormat="1" applyFont="1" applyBorder="1" applyAlignment="1">
      <alignment horizontal="right" wrapText="1"/>
      <protection/>
    </xf>
    <xf numFmtId="4" fontId="3" fillId="0" borderId="10" xfId="57" applyNumberFormat="1" applyFont="1" applyBorder="1" applyAlignment="1">
      <alignment horizontal="center" vertical="top" wrapText="1"/>
      <protection/>
    </xf>
    <xf numFmtId="4" fontId="3" fillId="0" borderId="12" xfId="57" applyNumberFormat="1" applyFont="1" applyBorder="1" applyAlignment="1">
      <alignment horizontal="center" vertical="top" wrapText="1"/>
      <protection/>
    </xf>
    <xf numFmtId="4" fontId="3" fillId="0" borderId="10" xfId="57" applyNumberFormat="1" applyFont="1" applyBorder="1" applyAlignment="1">
      <alignment horizontal="center" wrapText="1"/>
      <protection/>
    </xf>
    <xf numFmtId="49" fontId="3" fillId="0" borderId="0" xfId="57" applyNumberFormat="1" applyFont="1" applyAlignment="1">
      <alignment horizontal="right" wrapText="1"/>
      <protection/>
    </xf>
    <xf numFmtId="2" fontId="3" fillId="0" borderId="10" xfId="57" applyNumberFormat="1" applyFont="1" applyBorder="1" applyAlignment="1">
      <alignment horizontal="center" vertical="center" wrapText="1"/>
      <protection/>
    </xf>
    <xf numFmtId="0" fontId="3" fillId="0" borderId="0" xfId="58" applyFont="1">
      <alignment/>
      <protection/>
    </xf>
    <xf numFmtId="0" fontId="3" fillId="0" borderId="16" xfId="58" applyFont="1" applyBorder="1" applyAlignment="1">
      <alignment horizontal="center" wrapText="1"/>
      <protection/>
    </xf>
    <xf numFmtId="0" fontId="3" fillId="0" borderId="15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 wrapText="1"/>
      <protection/>
    </xf>
    <xf numFmtId="0" fontId="3" fillId="0" borderId="12" xfId="58" applyFont="1" applyBorder="1" applyAlignment="1">
      <alignment horizontal="center" vertical="center"/>
      <protection/>
    </xf>
    <xf numFmtId="0" fontId="3" fillId="0" borderId="16" xfId="58" applyFont="1" applyBorder="1" applyAlignment="1">
      <alignment horizontal="center" vertical="center"/>
      <protection/>
    </xf>
    <xf numFmtId="0" fontId="3" fillId="0" borderId="16" xfId="58" applyFont="1" applyBorder="1" applyAlignment="1">
      <alignment horizontal="right" vertical="center"/>
      <protection/>
    </xf>
    <xf numFmtId="4" fontId="3" fillId="0" borderId="15" xfId="58" applyNumberFormat="1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right" vertical="center"/>
      <protection/>
    </xf>
    <xf numFmtId="4" fontId="3" fillId="0" borderId="12" xfId="58" applyNumberFormat="1" applyFont="1" applyBorder="1" applyAlignment="1">
      <alignment horizontal="center" vertical="center"/>
      <protection/>
    </xf>
    <xf numFmtId="0" fontId="3" fillId="0" borderId="21" xfId="58" applyFont="1" applyBorder="1" applyAlignment="1">
      <alignment horizontal="center" vertical="center"/>
      <protection/>
    </xf>
    <xf numFmtId="0" fontId="3" fillId="0" borderId="21" xfId="58" applyFont="1" applyBorder="1" applyAlignment="1">
      <alignment horizontal="right" vertical="center"/>
      <protection/>
    </xf>
    <xf numFmtId="4" fontId="3" fillId="0" borderId="19" xfId="58" applyNumberFormat="1" applyFont="1" applyBorder="1" applyAlignment="1">
      <alignment horizontal="center" vertical="center"/>
      <protection/>
    </xf>
    <xf numFmtId="0" fontId="3" fillId="0" borderId="10" xfId="58" applyFont="1" applyBorder="1" applyAlignment="1">
      <alignment horizontal="left" vertical="center" wrapText="1"/>
      <protection/>
    </xf>
    <xf numFmtId="0" fontId="3" fillId="0" borderId="14" xfId="58" applyFont="1" applyBorder="1" applyAlignment="1">
      <alignment horizontal="center" vertical="center"/>
      <protection/>
    </xf>
    <xf numFmtId="0" fontId="3" fillId="0" borderId="11" xfId="58" applyFont="1" applyBorder="1" applyAlignment="1">
      <alignment horizontal="center" vertical="center"/>
      <protection/>
    </xf>
    <xf numFmtId="175" fontId="3" fillId="0" borderId="11" xfId="58" applyNumberFormat="1" applyFont="1" applyBorder="1" applyAlignment="1">
      <alignment horizontal="center" vertical="center"/>
      <protection/>
    </xf>
    <xf numFmtId="175" fontId="3" fillId="0" borderId="24" xfId="58" applyNumberFormat="1" applyFont="1" applyBorder="1" applyAlignment="1">
      <alignment horizontal="center" vertical="center"/>
      <protection/>
    </xf>
    <xf numFmtId="4" fontId="3" fillId="0" borderId="10" xfId="58" applyNumberFormat="1" applyFont="1" applyBorder="1" applyAlignment="1">
      <alignment horizontal="center" vertical="center"/>
      <protection/>
    </xf>
    <xf numFmtId="0" fontId="3" fillId="0" borderId="22" xfId="58" applyFont="1" applyBorder="1" applyAlignment="1">
      <alignment horizontal="center" vertical="center"/>
      <protection/>
    </xf>
    <xf numFmtId="175" fontId="3" fillId="0" borderId="16" xfId="58" applyNumberFormat="1" applyFont="1" applyBorder="1" applyAlignment="1">
      <alignment horizontal="center" vertical="center"/>
      <protection/>
    </xf>
    <xf numFmtId="2" fontId="3" fillId="0" borderId="11" xfId="58" applyNumberFormat="1" applyFont="1" applyBorder="1" applyAlignment="1">
      <alignment/>
      <protection/>
    </xf>
    <xf numFmtId="0" fontId="3" fillId="0" borderId="16" xfId="58" applyFont="1" applyFill="1" applyBorder="1" applyAlignment="1">
      <alignment horizontal="center" vertical="center"/>
      <protection/>
    </xf>
    <xf numFmtId="2" fontId="4" fillId="0" borderId="11" xfId="58" applyNumberFormat="1" applyFont="1" applyBorder="1" applyAlignment="1">
      <alignment horizontal="center" vertical="center"/>
      <protection/>
    </xf>
    <xf numFmtId="49" fontId="3" fillId="0" borderId="14" xfId="57" applyNumberFormat="1" applyFont="1" applyFill="1" applyBorder="1" applyAlignment="1">
      <alignment horizontal="left" vertical="top" wrapText="1"/>
      <protection/>
    </xf>
    <xf numFmtId="49" fontId="3" fillId="0" borderId="24" xfId="57" applyNumberFormat="1" applyFont="1" applyFill="1" applyBorder="1" applyAlignment="1">
      <alignment horizontal="left" vertical="top" wrapText="1"/>
      <protection/>
    </xf>
    <xf numFmtId="0" fontId="3" fillId="0" borderId="11" xfId="58" applyFont="1" applyBorder="1">
      <alignment/>
      <protection/>
    </xf>
    <xf numFmtId="0" fontId="3" fillId="0" borderId="24" xfId="58" applyFont="1" applyBorder="1">
      <alignment/>
      <protection/>
    </xf>
    <xf numFmtId="4" fontId="3" fillId="0" borderId="24" xfId="58" applyNumberFormat="1" applyFont="1" applyBorder="1" applyAlignment="1">
      <alignment horizontal="center"/>
      <protection/>
    </xf>
    <xf numFmtId="0" fontId="4" fillId="0" borderId="11" xfId="58" applyFont="1" applyBorder="1">
      <alignment/>
      <protection/>
    </xf>
    <xf numFmtId="0" fontId="4" fillId="0" borderId="24" xfId="58" applyFont="1" applyBorder="1">
      <alignment/>
      <protection/>
    </xf>
    <xf numFmtId="4" fontId="4" fillId="0" borderId="24" xfId="58" applyNumberFormat="1" applyFont="1" applyBorder="1" applyAlignment="1">
      <alignment horizontal="center"/>
      <protection/>
    </xf>
    <xf numFmtId="0" fontId="52" fillId="0" borderId="10" xfId="58" applyFont="1" applyBorder="1" applyAlignment="1">
      <alignment horizontal="center" wrapText="1"/>
      <protection/>
    </xf>
    <xf numFmtId="0" fontId="52" fillId="0" borderId="19" xfId="58" applyFont="1" applyBorder="1" applyAlignment="1">
      <alignment horizontal="center" vertical="center" wrapText="1"/>
      <protection/>
    </xf>
    <xf numFmtId="0" fontId="52" fillId="0" borderId="0" xfId="58" applyFont="1" applyBorder="1" applyAlignment="1">
      <alignment wrapText="1"/>
      <protection/>
    </xf>
    <xf numFmtId="0" fontId="52" fillId="0" borderId="23" xfId="58" applyFont="1" applyBorder="1" applyAlignment="1">
      <alignment wrapText="1"/>
      <protection/>
    </xf>
    <xf numFmtId="0" fontId="52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 inden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52" fillId="0" borderId="18" xfId="58" applyFont="1" applyBorder="1" applyAlignment="1">
      <alignment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52" fillId="0" borderId="15" xfId="58" applyFont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left" vertical="center" wrapText="1" indent="1"/>
      <protection/>
    </xf>
    <xf numFmtId="0" fontId="3" fillId="0" borderId="12" xfId="58" applyFont="1" applyFill="1" applyBorder="1" applyAlignment="1">
      <alignment horizontal="right" vertical="center" wrapText="1" indent="1"/>
      <protection/>
    </xf>
    <xf numFmtId="0" fontId="3" fillId="0" borderId="15" xfId="58" applyFont="1" applyBorder="1" applyAlignment="1">
      <alignment horizontal="right" vertical="center" wrapText="1" indent="1"/>
      <protection/>
    </xf>
    <xf numFmtId="0" fontId="52" fillId="0" borderId="20" xfId="58" applyFont="1" applyBorder="1" applyAlignment="1">
      <alignment wrapText="1"/>
      <protection/>
    </xf>
    <xf numFmtId="0" fontId="52" fillId="0" borderId="22" xfId="58" applyFont="1" applyBorder="1" applyAlignment="1">
      <alignment horizontal="center" wrapText="1"/>
      <protection/>
    </xf>
    <xf numFmtId="0" fontId="52" fillId="0" borderId="16" xfId="58" applyFont="1" applyBorder="1" applyAlignment="1">
      <alignment wrapText="1"/>
      <protection/>
    </xf>
    <xf numFmtId="0" fontId="52" fillId="0" borderId="15" xfId="58" applyFont="1" applyBorder="1" applyAlignment="1">
      <alignment horizontal="center" wrapText="1"/>
      <protection/>
    </xf>
    <xf numFmtId="0" fontId="52" fillId="0" borderId="16" xfId="58" applyFont="1" applyBorder="1" applyAlignment="1">
      <alignment horizontal="center" wrapText="1"/>
      <protection/>
    </xf>
    <xf numFmtId="0" fontId="52" fillId="0" borderId="23" xfId="58" applyFont="1" applyBorder="1" applyAlignment="1">
      <alignment horizontal="center" wrapText="1"/>
      <protection/>
    </xf>
    <xf numFmtId="0" fontId="52" fillId="0" borderId="13" xfId="58" applyFont="1" applyBorder="1" applyAlignment="1">
      <alignment horizontal="center" wrapText="1"/>
      <protection/>
    </xf>
    <xf numFmtId="0" fontId="52" fillId="0" borderId="19" xfId="58" applyFont="1" applyBorder="1" applyAlignment="1">
      <alignment wrapText="1"/>
      <protection/>
    </xf>
    <xf numFmtId="0" fontId="52" fillId="0" borderId="21" xfId="58" applyFont="1" applyBorder="1" applyAlignment="1">
      <alignment wrapText="1"/>
      <protection/>
    </xf>
    <xf numFmtId="0" fontId="52" fillId="0" borderId="19" xfId="58" applyFont="1" applyBorder="1" applyAlignment="1">
      <alignment horizontal="center" wrapText="1"/>
      <protection/>
    </xf>
    <xf numFmtId="0" fontId="52" fillId="0" borderId="21" xfId="58" applyFont="1" applyBorder="1" applyAlignment="1">
      <alignment horizontal="center" wrapText="1"/>
      <protection/>
    </xf>
    <xf numFmtId="0" fontId="52" fillId="0" borderId="20" xfId="58" applyFont="1" applyBorder="1" applyAlignment="1">
      <alignment horizontal="center" wrapText="1"/>
      <protection/>
    </xf>
    <xf numFmtId="0" fontId="52" fillId="0" borderId="17" xfId="58" applyFont="1" applyBorder="1" applyAlignment="1">
      <alignment horizontal="center" wrapText="1"/>
      <protection/>
    </xf>
    <xf numFmtId="0" fontId="52" fillId="0" borderId="0" xfId="58" applyFont="1" applyBorder="1" applyAlignment="1">
      <alignment horizontal="center" wrapText="1"/>
      <protection/>
    </xf>
    <xf numFmtId="0" fontId="52" fillId="0" borderId="18" xfId="58" applyFont="1" applyBorder="1" applyAlignment="1">
      <alignment horizontal="center" wrapText="1"/>
      <protection/>
    </xf>
    <xf numFmtId="0" fontId="52" fillId="0" borderId="15" xfId="58" applyFont="1" applyBorder="1" applyAlignment="1">
      <alignment horizontal="left" vertical="center" wrapText="1"/>
      <protection/>
    </xf>
    <xf numFmtId="0" fontId="52" fillId="0" borderId="22" xfId="58" applyFont="1" applyBorder="1" applyAlignment="1">
      <alignment horizontal="center" vertical="center" wrapText="1"/>
      <protection/>
    </xf>
    <xf numFmtId="0" fontId="52" fillId="0" borderId="16" xfId="58" applyFont="1" applyBorder="1" applyAlignment="1">
      <alignment horizontal="center" vertical="center" wrapText="1"/>
      <protection/>
    </xf>
    <xf numFmtId="0" fontId="52" fillId="0" borderId="23" xfId="58" applyFont="1" applyBorder="1" applyAlignment="1">
      <alignment horizontal="center" vertical="center" wrapText="1"/>
      <protection/>
    </xf>
    <xf numFmtId="2" fontId="52" fillId="0" borderId="23" xfId="58" applyNumberFormat="1" applyFont="1" applyBorder="1" applyAlignment="1">
      <alignment horizontal="center" vertical="center" wrapText="1"/>
      <protection/>
    </xf>
    <xf numFmtId="2" fontId="52" fillId="0" borderId="15" xfId="58" applyNumberFormat="1" applyFont="1" applyBorder="1" applyAlignment="1">
      <alignment horizontal="center" vertical="center" wrapText="1"/>
      <protection/>
    </xf>
    <xf numFmtId="0" fontId="52" fillId="0" borderId="19" xfId="58" applyFont="1" applyBorder="1" applyAlignment="1">
      <alignment horizontal="right" vertical="center" wrapText="1"/>
      <protection/>
    </xf>
    <xf numFmtId="0" fontId="52" fillId="0" borderId="21" xfId="58" applyFont="1" applyBorder="1" applyAlignment="1">
      <alignment horizontal="center" vertical="center" wrapText="1"/>
      <protection/>
    </xf>
    <xf numFmtId="2" fontId="52" fillId="0" borderId="19" xfId="58" applyNumberFormat="1" applyFont="1" applyBorder="1" applyAlignment="1">
      <alignment horizontal="center" vertical="center" wrapText="1"/>
      <protection/>
    </xf>
    <xf numFmtId="0" fontId="53" fillId="0" borderId="24" xfId="58" applyFont="1" applyBorder="1" applyAlignment="1">
      <alignment horizontal="left" vertical="center" wrapText="1"/>
      <protection/>
    </xf>
    <xf numFmtId="2" fontId="53" fillId="0" borderId="24" xfId="58" applyNumberFormat="1" applyFont="1" applyBorder="1" applyAlignment="1">
      <alignment horizontal="center" vertical="center" wrapText="1"/>
      <protection/>
    </xf>
    <xf numFmtId="2" fontId="53" fillId="0" borderId="10" xfId="58" applyNumberFormat="1" applyFont="1" applyBorder="1" applyAlignment="1">
      <alignment horizontal="center" vertical="center" wrapText="1"/>
      <protection/>
    </xf>
    <xf numFmtId="0" fontId="52" fillId="0" borderId="19" xfId="58" applyFont="1" applyFill="1" applyBorder="1" applyAlignment="1">
      <alignment horizontal="left" vertical="center" wrapText="1"/>
      <protection/>
    </xf>
    <xf numFmtId="0" fontId="52" fillId="0" borderId="13" xfId="58" applyFont="1" applyFill="1" applyBorder="1" applyAlignment="1">
      <alignment horizontal="center" vertical="center" wrapText="1"/>
      <protection/>
    </xf>
    <xf numFmtId="0" fontId="52" fillId="0" borderId="11" xfId="58" applyFont="1" applyFill="1" applyBorder="1" applyAlignment="1">
      <alignment horizontal="center" vertical="center" wrapText="1"/>
      <protection/>
    </xf>
    <xf numFmtId="0" fontId="52" fillId="0" borderId="24" xfId="58" applyFont="1" applyFill="1" applyBorder="1" applyAlignment="1">
      <alignment horizontal="center" vertical="center" wrapText="1"/>
      <protection/>
    </xf>
    <xf numFmtId="2" fontId="52" fillId="0" borderId="20" xfId="58" applyNumberFormat="1" applyFont="1" applyFill="1" applyBorder="1" applyAlignment="1">
      <alignment horizontal="center" vertical="center" wrapText="1"/>
      <protection/>
    </xf>
    <xf numFmtId="0" fontId="52" fillId="0" borderId="10" xfId="58" applyFont="1" applyFill="1" applyBorder="1" applyAlignment="1">
      <alignment horizontal="left" vertical="center" wrapText="1"/>
      <protection/>
    </xf>
    <xf numFmtId="0" fontId="52" fillId="0" borderId="10" xfId="58" applyFont="1" applyFill="1" applyBorder="1" applyAlignment="1">
      <alignment horizontal="center" vertical="center" wrapText="1"/>
      <protection/>
    </xf>
    <xf numFmtId="0" fontId="52" fillId="0" borderId="14" xfId="58" applyFont="1" applyFill="1" applyBorder="1" applyAlignment="1">
      <alignment horizontal="center" vertical="center" wrapText="1"/>
      <protection/>
    </xf>
    <xf numFmtId="0" fontId="52" fillId="0" borderId="0" xfId="58" applyFont="1" applyFill="1" applyBorder="1" applyAlignment="1">
      <alignment horizontal="center" vertical="center" wrapText="1"/>
      <protection/>
    </xf>
    <xf numFmtId="0" fontId="52" fillId="0" borderId="18" xfId="58" applyFont="1" applyFill="1" applyBorder="1" applyAlignment="1">
      <alignment horizontal="center" vertical="center" wrapText="1"/>
      <protection/>
    </xf>
    <xf numFmtId="2" fontId="52" fillId="0" borderId="24" xfId="58" applyNumberFormat="1" applyFont="1" applyFill="1" applyBorder="1" applyAlignment="1">
      <alignment horizontal="center" vertical="center" wrapText="1"/>
      <protection/>
    </xf>
    <xf numFmtId="0" fontId="53" fillId="0" borderId="11" xfId="58" applyFont="1" applyFill="1" applyBorder="1" applyAlignment="1">
      <alignment horizontal="left" vertical="center" wrapText="1"/>
      <protection/>
    </xf>
    <xf numFmtId="0" fontId="53" fillId="0" borderId="24" xfId="58" applyFont="1" applyFill="1" applyBorder="1" applyAlignment="1">
      <alignment horizontal="left" vertical="center" wrapText="1"/>
      <protection/>
    </xf>
    <xf numFmtId="2" fontId="53" fillId="0" borderId="24" xfId="58" applyNumberFormat="1" applyFont="1" applyFill="1" applyBorder="1" applyAlignment="1">
      <alignment horizontal="center" vertical="center" wrapText="1"/>
      <protection/>
    </xf>
    <xf numFmtId="2" fontId="53" fillId="0" borderId="10" xfId="58" applyNumberFormat="1" applyFont="1" applyFill="1" applyBorder="1" applyAlignment="1">
      <alignment horizontal="center" vertical="center" wrapText="1"/>
      <protection/>
    </xf>
    <xf numFmtId="0" fontId="52" fillId="0" borderId="10" xfId="58" applyFont="1" applyBorder="1" applyAlignment="1">
      <alignment horizontal="left" vertical="center" wrapText="1" shrinkToFit="1"/>
      <protection/>
    </xf>
    <xf numFmtId="0" fontId="52" fillId="0" borderId="14" xfId="58" applyFont="1" applyBorder="1" applyAlignment="1">
      <alignment horizontal="center" vertical="center" wrapText="1"/>
      <protection/>
    </xf>
    <xf numFmtId="0" fontId="52" fillId="0" borderId="24" xfId="58" applyFont="1" applyBorder="1" applyAlignment="1">
      <alignment horizontal="center" wrapText="1"/>
      <protection/>
    </xf>
    <xf numFmtId="0" fontId="52" fillId="0" borderId="11" xfId="58" applyFont="1" applyBorder="1" applyAlignment="1">
      <alignment horizontal="center" vertical="center" wrapText="1"/>
      <protection/>
    </xf>
    <xf numFmtId="0" fontId="52" fillId="0" borderId="24" xfId="58" applyFont="1" applyBorder="1" applyAlignment="1">
      <alignment horizontal="center" vertical="center" wrapText="1"/>
      <protection/>
    </xf>
    <xf numFmtId="0" fontId="52" fillId="0" borderId="10" xfId="58" applyFont="1" applyBorder="1" applyAlignment="1">
      <alignment vertical="top" wrapText="1"/>
      <protection/>
    </xf>
    <xf numFmtId="0" fontId="52" fillId="0" borderId="14" xfId="58" applyFont="1" applyBorder="1" applyAlignment="1">
      <alignment horizontal="center" vertical="top" wrapText="1"/>
      <protection/>
    </xf>
    <xf numFmtId="0" fontId="52" fillId="0" borderId="13" xfId="58" applyFont="1" applyBorder="1" applyAlignment="1">
      <alignment horizontal="center" vertical="top" wrapText="1"/>
      <protection/>
    </xf>
    <xf numFmtId="0" fontId="52" fillId="0" borderId="21" xfId="58" applyFont="1" applyBorder="1" applyAlignment="1">
      <alignment horizontal="center" vertical="top" wrapText="1"/>
      <protection/>
    </xf>
    <xf numFmtId="0" fontId="52" fillId="0" borderId="20" xfId="58" applyFont="1" applyBorder="1" applyAlignment="1">
      <alignment horizontal="center" vertical="top" wrapText="1"/>
      <protection/>
    </xf>
    <xf numFmtId="2" fontId="53" fillId="0" borderId="24" xfId="58" applyNumberFormat="1" applyFont="1" applyBorder="1" applyAlignment="1">
      <alignment horizontal="center" wrapText="1"/>
      <protection/>
    </xf>
    <xf numFmtId="2" fontId="53" fillId="0" borderId="10" xfId="58" applyNumberFormat="1" applyFont="1" applyBorder="1" applyAlignment="1">
      <alignment horizont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3" fillId="33" borderId="14" xfId="58" applyFont="1" applyFill="1" applyBorder="1" applyAlignment="1">
      <alignment horizontal="center" vertical="center" wrapText="1"/>
      <protection/>
    </xf>
    <xf numFmtId="0" fontId="3" fillId="33" borderId="22" xfId="58" applyFont="1" applyFill="1" applyBorder="1" applyAlignment="1">
      <alignment horizontal="center" vertical="center" wrapText="1"/>
      <protection/>
    </xf>
    <xf numFmtId="0" fontId="3" fillId="33" borderId="16" xfId="58" applyFont="1" applyFill="1" applyBorder="1" applyAlignment="1">
      <alignment horizontal="center" vertical="center" wrapText="1"/>
      <protection/>
    </xf>
    <xf numFmtId="0" fontId="3" fillId="33" borderId="23" xfId="58" applyFont="1" applyFill="1" applyBorder="1" applyAlignment="1">
      <alignment horizontal="center" vertical="center" wrapText="1"/>
      <protection/>
    </xf>
    <xf numFmtId="0" fontId="3" fillId="33" borderId="24" xfId="58" applyFont="1" applyFill="1" applyBorder="1" applyAlignment="1">
      <alignment horizontal="center" wrapText="1"/>
      <protection/>
    </xf>
    <xf numFmtId="0" fontId="52" fillId="0" borderId="14" xfId="58" applyFont="1" applyBorder="1" applyAlignment="1">
      <alignment horizontal="center" vertical="center"/>
      <protection/>
    </xf>
    <xf numFmtId="0" fontId="52" fillId="0" borderId="11" xfId="58" applyFont="1" applyBorder="1" applyAlignment="1">
      <alignment horizontal="center" vertical="center"/>
      <protection/>
    </xf>
    <xf numFmtId="0" fontId="52" fillId="0" borderId="24" xfId="58" applyFont="1" applyBorder="1" applyAlignment="1">
      <alignment horizontal="center" vertical="center"/>
      <protection/>
    </xf>
    <xf numFmtId="0" fontId="52" fillId="0" borderId="24" xfId="58" applyFont="1" applyBorder="1" applyAlignment="1">
      <alignment horizontal="center"/>
      <protection/>
    </xf>
    <xf numFmtId="0" fontId="52" fillId="0" borderId="10" xfId="58" applyFont="1" applyBorder="1" applyAlignment="1">
      <alignment horizontal="center" vertical="center"/>
      <protection/>
    </xf>
    <xf numFmtId="0" fontId="52" fillId="0" borderId="14" xfId="58" applyFont="1" applyFill="1" applyBorder="1" applyAlignment="1">
      <alignment horizontal="center" vertical="center"/>
      <protection/>
    </xf>
    <xf numFmtId="0" fontId="52" fillId="0" borderId="21" xfId="58" applyFont="1" applyFill="1" applyBorder="1" applyAlignment="1">
      <alignment horizontal="center" vertical="center"/>
      <protection/>
    </xf>
    <xf numFmtId="0" fontId="52" fillId="0" borderId="20" xfId="58" applyFont="1" applyFill="1" applyBorder="1" applyAlignment="1">
      <alignment horizontal="center" vertical="center"/>
      <protection/>
    </xf>
    <xf numFmtId="2" fontId="52" fillId="0" borderId="24" xfId="58" applyNumberFormat="1" applyFont="1" applyBorder="1" applyAlignment="1">
      <alignment horizontal="center"/>
      <protection/>
    </xf>
    <xf numFmtId="0" fontId="53" fillId="0" borderId="10" xfId="58" applyFont="1" applyBorder="1" applyAlignment="1">
      <alignment horizontal="center" wrapText="1"/>
      <protection/>
    </xf>
    <xf numFmtId="0" fontId="3" fillId="0" borderId="14" xfId="58" applyFont="1" applyBorder="1" applyAlignment="1">
      <alignment horizontal="center" vertical="center" wrapText="1"/>
      <protection/>
    </xf>
    <xf numFmtId="0" fontId="3" fillId="0" borderId="11" xfId="58" applyFont="1" applyBorder="1" applyAlignment="1">
      <alignment horizontal="center" vertical="center" wrapText="1"/>
      <protection/>
    </xf>
    <xf numFmtId="0" fontId="3" fillId="0" borderId="24" xfId="58" applyFont="1" applyBorder="1" applyAlignment="1">
      <alignment horizontal="center" vertical="center" wrapText="1"/>
      <protection/>
    </xf>
    <xf numFmtId="2" fontId="52" fillId="0" borderId="24" xfId="58" applyNumberFormat="1" applyFont="1" applyBorder="1" applyAlignment="1">
      <alignment horizontal="center" wrapText="1"/>
      <protection/>
    </xf>
    <xf numFmtId="2" fontId="52" fillId="0" borderId="10" xfId="58" applyNumberFormat="1" applyFont="1" applyBorder="1" applyAlignment="1">
      <alignment horizontal="center" wrapText="1"/>
      <protection/>
    </xf>
    <xf numFmtId="0" fontId="53" fillId="0" borderId="22" xfId="58" applyFont="1" applyBorder="1" applyAlignment="1">
      <alignment horizontal="left" vertical="center" wrapText="1"/>
      <protection/>
    </xf>
    <xf numFmtId="0" fontId="53" fillId="0" borderId="16" xfId="58" applyFont="1" applyBorder="1" applyAlignment="1">
      <alignment horizontal="left" vertical="center" wrapText="1"/>
      <protection/>
    </xf>
    <xf numFmtId="0" fontId="53" fillId="0" borderId="23" xfId="58" applyFont="1" applyBorder="1" applyAlignment="1">
      <alignment horizontal="left" vertical="center" wrapText="1"/>
      <protection/>
    </xf>
    <xf numFmtId="4" fontId="53" fillId="0" borderId="24" xfId="58" applyNumberFormat="1" applyFont="1" applyBorder="1" applyAlignment="1">
      <alignment horizontal="center" wrapText="1"/>
      <protection/>
    </xf>
    <xf numFmtId="4" fontId="53" fillId="0" borderId="10" xfId="58" applyNumberFormat="1" applyFont="1" applyBorder="1" applyAlignment="1">
      <alignment horizontal="center" wrapText="1"/>
      <protection/>
    </xf>
    <xf numFmtId="0" fontId="52" fillId="0" borderId="19" xfId="57" applyFont="1" applyBorder="1" applyAlignment="1">
      <alignment horizontal="left" vertical="top" wrapText="1"/>
      <protection/>
    </xf>
    <xf numFmtId="0" fontId="52" fillId="0" borderId="13" xfId="58" applyFont="1" applyBorder="1" applyAlignment="1">
      <alignment horizontal="center" vertical="center" wrapText="1"/>
      <protection/>
    </xf>
    <xf numFmtId="0" fontId="52" fillId="0" borderId="17" xfId="58" applyFont="1" applyBorder="1" applyAlignment="1">
      <alignment horizontal="center" vertical="center" wrapText="1"/>
      <protection/>
    </xf>
    <xf numFmtId="0" fontId="52" fillId="0" borderId="0" xfId="58" applyFont="1" applyBorder="1" applyAlignment="1">
      <alignment horizontal="center" vertical="center" wrapText="1"/>
      <protection/>
    </xf>
    <xf numFmtId="0" fontId="52" fillId="0" borderId="18" xfId="58" applyFont="1" applyBorder="1" applyAlignment="1">
      <alignment horizontal="center" vertical="center" wrapText="1"/>
      <protection/>
    </xf>
    <xf numFmtId="4" fontId="52" fillId="0" borderId="20" xfId="58" applyNumberFormat="1" applyFont="1" applyBorder="1" applyAlignment="1">
      <alignment horizontal="center" wrapText="1"/>
      <protection/>
    </xf>
    <xf numFmtId="4" fontId="52" fillId="0" borderId="19" xfId="58" applyNumberFormat="1" applyFont="1" applyBorder="1" applyAlignment="1">
      <alignment horizontal="center" wrapText="1"/>
      <protection/>
    </xf>
    <xf numFmtId="4" fontId="52" fillId="0" borderId="24" xfId="58" applyNumberFormat="1" applyFont="1" applyBorder="1" applyAlignment="1">
      <alignment horizontal="center" wrapText="1"/>
      <protection/>
    </xf>
    <xf numFmtId="4" fontId="52" fillId="0" borderId="10" xfId="58" applyNumberFormat="1" applyFont="1" applyBorder="1" applyAlignment="1">
      <alignment horizontal="center" wrapText="1"/>
      <protection/>
    </xf>
    <xf numFmtId="0" fontId="53" fillId="0" borderId="13" xfId="58" applyFont="1" applyBorder="1" applyAlignment="1">
      <alignment horizontal="left" vertical="center" wrapText="1"/>
      <protection/>
    </xf>
    <xf numFmtId="0" fontId="53" fillId="0" borderId="21" xfId="58" applyFont="1" applyBorder="1" applyAlignment="1">
      <alignment horizontal="left" vertical="center" wrapText="1"/>
      <protection/>
    </xf>
    <xf numFmtId="0" fontId="53" fillId="0" borderId="20" xfId="58" applyFont="1" applyBorder="1" applyAlignment="1">
      <alignment horizontal="left" vertical="center" wrapText="1"/>
      <protection/>
    </xf>
    <xf numFmtId="0" fontId="3" fillId="0" borderId="25" xfId="66" applyFont="1" applyBorder="1" applyAlignment="1">
      <alignment horizontal="center" vertical="center" wrapText="1"/>
      <protection/>
    </xf>
    <xf numFmtId="0" fontId="3" fillId="0" borderId="26" xfId="66" applyFont="1" applyBorder="1" applyAlignment="1">
      <alignment horizontal="center" vertical="center" wrapText="1"/>
      <protection/>
    </xf>
    <xf numFmtId="0" fontId="3" fillId="0" borderId="27" xfId="66" applyFont="1" applyBorder="1" applyAlignment="1">
      <alignment horizontal="center" vertical="center" wrapText="1"/>
      <protection/>
    </xf>
    <xf numFmtId="0" fontId="3" fillId="0" borderId="28" xfId="66" applyFont="1" applyBorder="1" applyAlignment="1">
      <alignment horizontal="center" wrapText="1"/>
      <protection/>
    </xf>
    <xf numFmtId="0" fontId="3" fillId="0" borderId="15" xfId="66" applyFont="1" applyBorder="1" applyAlignment="1">
      <alignment horizontal="center" wrapText="1"/>
      <protection/>
    </xf>
    <xf numFmtId="0" fontId="3" fillId="0" borderId="29" xfId="66" applyFont="1" applyBorder="1" applyAlignment="1">
      <alignment horizontal="center" vertical="center"/>
      <protection/>
    </xf>
    <xf numFmtId="0" fontId="3" fillId="0" borderId="30" xfId="66" applyFont="1" applyBorder="1" applyAlignment="1">
      <alignment horizontal="center" wrapText="1"/>
      <protection/>
    </xf>
    <xf numFmtId="0" fontId="4" fillId="0" borderId="22" xfId="66" applyFont="1" applyBorder="1" applyAlignment="1">
      <alignment horizontal="center" wrapText="1"/>
      <protection/>
    </xf>
    <xf numFmtId="0" fontId="3" fillId="0" borderId="31" xfId="66" applyFont="1" applyBorder="1" applyAlignment="1">
      <alignment horizontal="center" wrapText="1"/>
      <protection/>
    </xf>
    <xf numFmtId="0" fontId="3" fillId="0" borderId="32" xfId="66" applyFont="1" applyBorder="1" applyAlignment="1">
      <alignment horizontal="center" vertical="center"/>
      <protection/>
    </xf>
    <xf numFmtId="0" fontId="4" fillId="0" borderId="33" xfId="66" applyFont="1" applyBorder="1" applyAlignment="1">
      <alignment horizontal="center" vertical="center" wrapText="1"/>
      <protection/>
    </xf>
    <xf numFmtId="0" fontId="3" fillId="0" borderId="28" xfId="66" applyFont="1" applyFill="1" applyBorder="1" applyAlignment="1">
      <alignment horizontal="center" vertical="center" wrapText="1"/>
      <protection/>
    </xf>
    <xf numFmtId="2" fontId="3" fillId="0" borderId="32" xfId="66" applyNumberFormat="1" applyFont="1" applyFill="1" applyBorder="1" applyAlignment="1">
      <alignment horizontal="center" vertical="center"/>
      <protection/>
    </xf>
    <xf numFmtId="0" fontId="3" fillId="0" borderId="31" xfId="66" applyFont="1" applyFill="1" applyBorder="1" applyAlignment="1">
      <alignment horizontal="center" wrapText="1"/>
      <protection/>
    </xf>
    <xf numFmtId="0" fontId="3" fillId="0" borderId="32" xfId="66" applyFont="1" applyFill="1" applyBorder="1" applyAlignment="1">
      <alignment horizontal="center" vertical="center"/>
      <protection/>
    </xf>
    <xf numFmtId="0" fontId="4" fillId="0" borderId="19" xfId="66" applyFont="1" applyFill="1" applyBorder="1">
      <alignment/>
      <protection/>
    </xf>
    <xf numFmtId="4" fontId="3" fillId="0" borderId="34" xfId="66" applyNumberFormat="1" applyFont="1" applyFill="1" applyBorder="1" applyAlignment="1">
      <alignment horizontal="center" vertical="center"/>
      <protection/>
    </xf>
    <xf numFmtId="4" fontId="4" fillId="0" borderId="35" xfId="66" applyNumberFormat="1" applyFont="1" applyFill="1" applyBorder="1" applyAlignment="1">
      <alignment horizontal="center" wrapText="1"/>
      <protection/>
    </xf>
    <xf numFmtId="0" fontId="4" fillId="0" borderId="33" xfId="66" applyFont="1" applyBorder="1" applyAlignment="1">
      <alignment horizontal="center" wrapText="1"/>
      <protection/>
    </xf>
    <xf numFmtId="0" fontId="3" fillId="0" borderId="28" xfId="66" applyFont="1" applyBorder="1" applyAlignment="1">
      <alignment horizontal="center" vertical="center" wrapText="1"/>
      <protection/>
    </xf>
    <xf numFmtId="4" fontId="3" fillId="0" borderId="29" xfId="66" applyNumberFormat="1" applyFont="1" applyBorder="1" applyAlignment="1">
      <alignment horizontal="center" vertical="center"/>
      <protection/>
    </xf>
    <xf numFmtId="0" fontId="4" fillId="0" borderId="36" xfId="66" applyFont="1" applyBorder="1">
      <alignment/>
      <protection/>
    </xf>
    <xf numFmtId="4" fontId="3" fillId="0" borderId="32" xfId="66" applyNumberFormat="1" applyFont="1" applyBorder="1" applyAlignment="1">
      <alignment horizontal="center" vertical="center"/>
      <protection/>
    </xf>
    <xf numFmtId="49" fontId="8" fillId="0" borderId="36" xfId="66" applyNumberFormat="1" applyFont="1" applyBorder="1" applyAlignment="1">
      <alignment horizontal="center" vertical="center"/>
      <protection/>
    </xf>
    <xf numFmtId="0" fontId="3" fillId="0" borderId="36" xfId="66" applyFont="1" applyBorder="1">
      <alignment/>
      <protection/>
    </xf>
    <xf numFmtId="0" fontId="4" fillId="0" borderId="37" xfId="66" applyFont="1" applyBorder="1" applyAlignment="1">
      <alignment horizontal="center" vertical="center" wrapText="1"/>
      <protection/>
    </xf>
    <xf numFmtId="0" fontId="4" fillId="0" borderId="19" xfId="66" applyFont="1" applyBorder="1">
      <alignment/>
      <protection/>
    </xf>
    <xf numFmtId="4" fontId="3" fillId="0" borderId="34" xfId="66" applyNumberFormat="1" applyFont="1" applyBorder="1" applyAlignment="1">
      <alignment horizontal="center" vertical="center"/>
      <protection/>
    </xf>
    <xf numFmtId="0" fontId="4" fillId="0" borderId="36" xfId="66" applyFont="1" applyBorder="1" applyAlignment="1">
      <alignment horizontal="center" vertical="center" wrapText="1"/>
      <protection/>
    </xf>
    <xf numFmtId="0" fontId="4" fillId="0" borderId="13" xfId="66" applyFont="1" applyBorder="1">
      <alignment/>
      <protection/>
    </xf>
    <xf numFmtId="4" fontId="4" fillId="0" borderId="35" xfId="66" applyNumberFormat="1" applyFont="1" applyBorder="1" applyAlignment="1">
      <alignment horizontal="center" vertical="center"/>
      <protection/>
    </xf>
    <xf numFmtId="0" fontId="3" fillId="0" borderId="38" xfId="66" applyFont="1" applyBorder="1" applyAlignment="1">
      <alignment horizontal="center" vertical="center"/>
      <protection/>
    </xf>
    <xf numFmtId="0" fontId="4" fillId="0" borderId="11" xfId="66" applyFont="1" applyBorder="1" applyAlignment="1">
      <alignment horizontal="left" vertical="center"/>
      <protection/>
    </xf>
    <xf numFmtId="0" fontId="4" fillId="0" borderId="10" xfId="66" applyFont="1" applyBorder="1" applyAlignment="1">
      <alignment horizontal="left" vertical="center"/>
      <protection/>
    </xf>
    <xf numFmtId="4" fontId="3" fillId="0" borderId="35" xfId="66" applyNumberFormat="1" applyFont="1" applyBorder="1" applyAlignment="1">
      <alignment horizontal="center"/>
      <protection/>
    </xf>
    <xf numFmtId="4" fontId="4" fillId="0" borderId="35" xfId="66" applyNumberFormat="1" applyFont="1" applyBorder="1" applyAlignment="1">
      <alignment horizontal="center"/>
      <protection/>
    </xf>
    <xf numFmtId="0" fontId="3" fillId="0" borderId="14" xfId="66" applyFont="1" applyBorder="1" applyAlignment="1">
      <alignment horizontal="left" vertical="top" wrapText="1"/>
      <protection/>
    </xf>
    <xf numFmtId="9" fontId="3" fillId="0" borderId="10" xfId="66" applyNumberFormat="1" applyFont="1" applyBorder="1" applyAlignment="1">
      <alignment horizontal="center" vertical="top" wrapText="1"/>
      <protection/>
    </xf>
    <xf numFmtId="2" fontId="3" fillId="0" borderId="10" xfId="66" applyNumberFormat="1" applyFont="1" applyBorder="1" applyAlignment="1">
      <alignment horizontal="center" vertical="center"/>
      <protection/>
    </xf>
    <xf numFmtId="4" fontId="4" fillId="0" borderId="10" xfId="66" applyNumberFormat="1" applyFont="1" applyBorder="1" applyAlignment="1">
      <alignment horizontal="center"/>
      <protection/>
    </xf>
    <xf numFmtId="0" fontId="3" fillId="0" borderId="0" xfId="54" applyFont="1">
      <alignment/>
      <protection/>
    </xf>
    <xf numFmtId="0" fontId="3" fillId="0" borderId="39" xfId="54" applyFont="1" applyBorder="1" applyAlignment="1">
      <alignment horizontal="left" vertical="center"/>
      <protection/>
    </xf>
    <xf numFmtId="0" fontId="3" fillId="0" borderId="40" xfId="54" applyFont="1" applyBorder="1" applyAlignment="1">
      <alignment horizontal="left" vertical="center" wrapText="1" indent="1"/>
      <protection/>
    </xf>
    <xf numFmtId="0" fontId="3" fillId="0" borderId="40" xfId="54" applyFont="1" applyBorder="1" applyAlignment="1">
      <alignment horizontal="left" vertical="center" indent="1"/>
      <protection/>
    </xf>
    <xf numFmtId="0" fontId="3" fillId="0" borderId="41" xfId="54" applyFont="1" applyFill="1" applyBorder="1" applyAlignment="1">
      <alignment vertical="center" wrapText="1"/>
      <protection/>
    </xf>
    <xf numFmtId="0" fontId="3" fillId="0" borderId="42" xfId="54" applyFont="1" applyFill="1" applyBorder="1" applyAlignment="1">
      <alignment vertical="center" wrapText="1"/>
      <protection/>
    </xf>
    <xf numFmtId="0" fontId="3" fillId="0" borderId="39" xfId="54" applyFont="1" applyBorder="1" applyAlignment="1">
      <alignment vertical="center"/>
      <protection/>
    </xf>
    <xf numFmtId="0" fontId="8" fillId="0" borderId="39" xfId="54" applyFont="1" applyBorder="1" applyAlignment="1">
      <alignment vertical="center"/>
      <protection/>
    </xf>
    <xf numFmtId="0" fontId="4" fillId="0" borderId="39" xfId="54" applyFont="1" applyBorder="1" applyAlignment="1">
      <alignment vertical="center"/>
      <protection/>
    </xf>
    <xf numFmtId="0" fontId="4" fillId="0" borderId="43" xfId="54" applyFont="1" applyBorder="1" applyAlignment="1">
      <alignment vertical="center"/>
      <protection/>
    </xf>
    <xf numFmtId="0" fontId="3" fillId="0" borderId="44" xfId="54" applyFont="1" applyBorder="1" applyAlignment="1">
      <alignment horizontal="left" vertical="center" wrapText="1" indent="1"/>
      <protection/>
    </xf>
    <xf numFmtId="0" fontId="3" fillId="0" borderId="0" xfId="54" applyFont="1" applyAlignment="1">
      <alignment vertical="center"/>
      <protection/>
    </xf>
    <xf numFmtId="4" fontId="3" fillId="0" borderId="0" xfId="54" applyNumberFormat="1" applyFont="1" applyAlignment="1">
      <alignment horizontal="center" vertical="center"/>
      <protection/>
    </xf>
    <xf numFmtId="4" fontId="4" fillId="0" borderId="45" xfId="54" applyNumberFormat="1" applyFont="1" applyFill="1" applyBorder="1" applyAlignment="1">
      <alignment horizontal="right" vertical="center"/>
      <protection/>
    </xf>
    <xf numFmtId="193" fontId="3" fillId="0" borderId="45" xfId="54" applyNumberFormat="1" applyFont="1" applyFill="1" applyBorder="1" applyAlignment="1">
      <alignment horizontal="right" vertical="center"/>
      <protection/>
    </xf>
    <xf numFmtId="4" fontId="3" fillId="0" borderId="45" xfId="54" applyNumberFormat="1" applyFont="1" applyFill="1" applyBorder="1" applyAlignment="1">
      <alignment horizontal="right" vertical="center"/>
      <protection/>
    </xf>
    <xf numFmtId="4" fontId="4" fillId="0" borderId="45" xfId="54" applyNumberFormat="1" applyFont="1" applyFill="1" applyBorder="1" applyAlignment="1">
      <alignment vertical="center"/>
      <protection/>
    </xf>
    <xf numFmtId="4" fontId="3" fillId="0" borderId="45" xfId="54" applyNumberFormat="1" applyFont="1" applyFill="1" applyBorder="1" applyAlignment="1">
      <alignment vertical="center"/>
      <protection/>
    </xf>
    <xf numFmtId="4" fontId="4" fillId="0" borderId="46" xfId="54" applyNumberFormat="1" applyFont="1" applyFill="1" applyBorder="1" applyAlignment="1">
      <alignment vertical="center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4" fontId="3" fillId="0" borderId="10" xfId="54" applyNumberFormat="1" applyFont="1" applyBorder="1" applyAlignment="1">
      <alignment horizontal="center" vertical="center"/>
      <protection/>
    </xf>
    <xf numFmtId="4" fontId="3" fillId="0" borderId="10" xfId="54" applyNumberFormat="1" applyFont="1" applyFill="1" applyBorder="1" applyAlignment="1">
      <alignment horizontal="center" vertical="center"/>
      <protection/>
    </xf>
    <xf numFmtId="0" fontId="3" fillId="0" borderId="14" xfId="0" applyFont="1" applyBorder="1" applyAlignment="1">
      <alignment horizontal="left" vertical="center" wrapText="1"/>
    </xf>
    <xf numFmtId="4" fontId="3" fillId="0" borderId="0" xfId="54" applyNumberFormat="1" applyFont="1">
      <alignment/>
      <protection/>
    </xf>
    <xf numFmtId="0" fontId="3" fillId="0" borderId="11" xfId="57" applyFont="1" applyBorder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15" xfId="63" applyFont="1" applyBorder="1" applyAlignment="1">
      <alignment vertical="center" wrapText="1"/>
      <protection/>
    </xf>
    <xf numFmtId="0" fontId="3" fillId="0" borderId="15" xfId="63" applyFont="1" applyBorder="1" applyAlignment="1">
      <alignment horizontal="center" vertical="center" wrapText="1"/>
      <protection/>
    </xf>
    <xf numFmtId="0" fontId="3" fillId="0" borderId="15" xfId="63" applyFont="1" applyBorder="1" applyAlignment="1">
      <alignment horizontal="center" wrapText="1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vertical="center" wrapText="1"/>
      <protection/>
    </xf>
    <xf numFmtId="0" fontId="3" fillId="0" borderId="22" xfId="63" applyFont="1" applyBorder="1" applyAlignment="1">
      <alignment horizontal="center" wrapText="1"/>
      <protection/>
    </xf>
    <xf numFmtId="0" fontId="3" fillId="0" borderId="23" xfId="63" applyFont="1" applyBorder="1">
      <alignment/>
      <protection/>
    </xf>
    <xf numFmtId="0" fontId="3" fillId="0" borderId="16" xfId="63" applyFont="1" applyBorder="1" applyAlignment="1">
      <alignment horizontal="center" wrapText="1"/>
      <protection/>
    </xf>
    <xf numFmtId="0" fontId="3" fillId="0" borderId="17" xfId="63" applyFont="1" applyBorder="1" applyAlignment="1">
      <alignment vertical="center" wrapText="1"/>
      <protection/>
    </xf>
    <xf numFmtId="0" fontId="3" fillId="0" borderId="17" xfId="63" applyFont="1" applyBorder="1" applyAlignment="1">
      <alignment horizontal="left" vertical="top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8" xfId="63" applyFont="1" applyBorder="1">
      <alignment/>
      <protection/>
    </xf>
    <xf numFmtId="0" fontId="3" fillId="0" borderId="0" xfId="63" applyFont="1" applyBorder="1" applyAlignment="1">
      <alignment horizontal="center" wrapText="1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5" xfId="57" applyFont="1" applyBorder="1" applyAlignment="1">
      <alignment vertical="center" wrapText="1"/>
      <protection/>
    </xf>
    <xf numFmtId="0" fontId="4" fillId="0" borderId="16" xfId="57" applyFont="1" applyBorder="1" applyAlignment="1">
      <alignment horizontal="center" vertical="center" wrapText="1"/>
      <protection/>
    </xf>
    <xf numFmtId="0" fontId="4" fillId="0" borderId="15" xfId="57" applyFont="1" applyBorder="1" applyAlignment="1">
      <alignment horizontal="center" vertical="center" wrapText="1"/>
      <protection/>
    </xf>
    <xf numFmtId="0" fontId="3" fillId="0" borderId="15" xfId="57" applyFont="1" applyBorder="1" applyAlignment="1">
      <alignment horizontal="center" vertical="center" wrapText="1"/>
      <protection/>
    </xf>
    <xf numFmtId="0" fontId="3" fillId="0" borderId="22" xfId="57" applyFont="1" applyBorder="1" applyAlignment="1">
      <alignment vertical="center" wrapText="1"/>
      <protection/>
    </xf>
    <xf numFmtId="0" fontId="3" fillId="0" borderId="16" xfId="57" applyFont="1" applyBorder="1" applyAlignment="1">
      <alignment vertical="center" wrapText="1"/>
      <protection/>
    </xf>
    <xf numFmtId="0" fontId="3" fillId="0" borderId="23" xfId="57" applyFont="1" applyBorder="1" applyAlignment="1">
      <alignment vertical="center" wrapText="1"/>
      <protection/>
    </xf>
    <xf numFmtId="4" fontId="3" fillId="0" borderId="15" xfId="57" applyNumberFormat="1" applyFont="1" applyBorder="1" applyAlignment="1">
      <alignment horizontal="center" vertical="center"/>
      <protection/>
    </xf>
    <xf numFmtId="0" fontId="3" fillId="0" borderId="12" xfId="57" applyFont="1" applyBorder="1" applyAlignment="1">
      <alignment vertical="center" wrapText="1"/>
      <protection/>
    </xf>
    <xf numFmtId="175" fontId="3" fillId="0" borderId="12" xfId="57" applyNumberFormat="1" applyFont="1" applyBorder="1" applyAlignment="1">
      <alignment horizontal="center" vertical="center" wrapText="1"/>
      <protection/>
    </xf>
    <xf numFmtId="0" fontId="3" fillId="0" borderId="12" xfId="57" applyFont="1" applyBorder="1" applyAlignment="1">
      <alignment horizontal="center" vertical="center" wrapText="1"/>
      <protection/>
    </xf>
    <xf numFmtId="0" fontId="3" fillId="0" borderId="17" xfId="57" applyFont="1" applyBorder="1" applyAlignment="1">
      <alignment vertical="center" wrapText="1"/>
      <protection/>
    </xf>
    <xf numFmtId="0" fontId="3" fillId="0" borderId="0" xfId="57" applyFont="1" applyBorder="1" applyAlignment="1">
      <alignment vertical="center" wrapText="1"/>
      <protection/>
    </xf>
    <xf numFmtId="0" fontId="3" fillId="0" borderId="12" xfId="57" applyFont="1" applyBorder="1" applyAlignment="1">
      <alignment horizontal="center" vertical="center"/>
      <protection/>
    </xf>
    <xf numFmtId="0" fontId="3" fillId="0" borderId="12" xfId="57" applyFont="1" applyBorder="1" applyAlignment="1">
      <alignment vertical="center"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3" fillId="0" borderId="12" xfId="61" applyFont="1" applyBorder="1">
      <alignment/>
      <protection/>
    </xf>
    <xf numFmtId="0" fontId="3" fillId="0" borderId="17" xfId="57" applyFont="1" applyBorder="1" applyAlignment="1">
      <alignment/>
      <protection/>
    </xf>
    <xf numFmtId="0" fontId="3" fillId="0" borderId="0" xfId="57" applyFont="1" applyBorder="1" applyAlignment="1">
      <alignment/>
      <protection/>
    </xf>
    <xf numFmtId="0" fontId="3" fillId="0" borderId="18" xfId="57" applyFont="1" applyBorder="1" applyAlignment="1">
      <alignment/>
      <protection/>
    </xf>
    <xf numFmtId="0" fontId="3" fillId="0" borderId="0" xfId="57" applyFont="1" applyAlignment="1">
      <alignment/>
      <protection/>
    </xf>
    <xf numFmtId="0" fontId="3" fillId="0" borderId="12" xfId="57" applyFont="1" applyBorder="1" applyAlignment="1">
      <alignment/>
      <protection/>
    </xf>
    <xf numFmtId="0" fontId="3" fillId="0" borderId="19" xfId="57" applyFont="1" applyBorder="1" applyAlignment="1">
      <alignment vertical="center"/>
      <protection/>
    </xf>
    <xf numFmtId="0" fontId="3" fillId="0" borderId="19" xfId="57" applyFont="1" applyFill="1" applyBorder="1" applyAlignment="1">
      <alignment horizontal="center" vertical="center"/>
      <protection/>
    </xf>
    <xf numFmtId="0" fontId="3" fillId="0" borderId="18" xfId="57" applyFont="1" applyBorder="1">
      <alignment/>
      <protection/>
    </xf>
    <xf numFmtId="0" fontId="3" fillId="0" borderId="10" xfId="57" applyFont="1" applyBorder="1" applyAlignment="1">
      <alignment vertical="center"/>
      <protection/>
    </xf>
    <xf numFmtId="2" fontId="3" fillId="0" borderId="10" xfId="57" applyNumberFormat="1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10" xfId="57" applyFont="1" applyBorder="1" applyAlignment="1">
      <alignment vertical="center" wrapText="1"/>
      <protection/>
    </xf>
    <xf numFmtId="0" fontId="3" fillId="0" borderId="14" xfId="65" applyFont="1" applyBorder="1" applyAlignment="1">
      <alignment vertical="center"/>
      <protection/>
    </xf>
    <xf numFmtId="0" fontId="3" fillId="0" borderId="10" xfId="65" applyFont="1" applyBorder="1" applyAlignment="1">
      <alignment horizontal="center" vertical="center"/>
      <protection/>
    </xf>
    <xf numFmtId="0" fontId="3" fillId="0" borderId="10" xfId="57" applyFont="1" applyBorder="1" applyAlignment="1">
      <alignment wrapText="1"/>
      <protection/>
    </xf>
    <xf numFmtId="0" fontId="3" fillId="0" borderId="21" xfId="57" applyFont="1" applyBorder="1" applyAlignment="1">
      <alignment vertical="center" wrapText="1"/>
      <protection/>
    </xf>
    <xf numFmtId="4" fontId="3" fillId="0" borderId="19" xfId="57" applyNumberFormat="1" applyFont="1" applyBorder="1" applyAlignment="1">
      <alignment horizontal="center" vertical="center"/>
      <protection/>
    </xf>
    <xf numFmtId="0" fontId="3" fillId="0" borderId="19" xfId="57" applyFont="1" applyBorder="1" applyAlignment="1">
      <alignment vertical="center" wrapText="1"/>
      <protection/>
    </xf>
    <xf numFmtId="0" fontId="3" fillId="0" borderId="0" xfId="65" applyFont="1" applyAlignment="1">
      <alignment vertical="center"/>
      <protection/>
    </xf>
    <xf numFmtId="0" fontId="3" fillId="0" borderId="19" xfId="65" applyFont="1" applyBorder="1" applyAlignment="1">
      <alignment horizontal="center" vertical="center" wrapText="1"/>
      <protection/>
    </xf>
    <xf numFmtId="0" fontId="4" fillId="0" borderId="19" xfId="57" applyFont="1" applyBorder="1">
      <alignment/>
      <protection/>
    </xf>
    <xf numFmtId="4" fontId="4" fillId="0" borderId="10" xfId="57" applyNumberFormat="1" applyFont="1" applyBorder="1" applyAlignment="1">
      <alignment wrapText="1"/>
      <protection/>
    </xf>
    <xf numFmtId="2" fontId="3" fillId="0" borderId="12" xfId="57" applyNumberFormat="1" applyFont="1" applyBorder="1" applyAlignment="1">
      <alignment horizontal="center" vertical="center" wrapText="1"/>
      <protection/>
    </xf>
    <xf numFmtId="4" fontId="3" fillId="0" borderId="12" xfId="57" applyNumberFormat="1" applyFont="1" applyBorder="1" applyAlignment="1">
      <alignment horizontal="center" vertical="center"/>
      <protection/>
    </xf>
    <xf numFmtId="0" fontId="3" fillId="0" borderId="12" xfId="57" applyFont="1" applyBorder="1" applyAlignment="1">
      <alignment horizontal="left" vertical="center"/>
      <protection/>
    </xf>
    <xf numFmtId="10" fontId="3" fillId="0" borderId="12" xfId="57" applyNumberFormat="1" applyFont="1" applyFill="1" applyBorder="1" applyAlignment="1">
      <alignment horizontal="center" vertical="center"/>
      <protection/>
    </xf>
    <xf numFmtId="0" fontId="3" fillId="0" borderId="20" xfId="57" applyFont="1" applyBorder="1" applyAlignment="1">
      <alignment vertical="center" wrapText="1"/>
      <protection/>
    </xf>
    <xf numFmtId="0" fontId="3" fillId="0" borderId="14" xfId="57" applyFont="1" applyBorder="1" applyAlignment="1">
      <alignment horizontal="left" wrapText="1"/>
      <protection/>
    </xf>
    <xf numFmtId="0" fontId="3" fillId="0" borderId="11" xfId="57" applyFont="1" applyBorder="1" applyAlignment="1">
      <alignment horizontal="left" wrapText="1"/>
      <protection/>
    </xf>
    <xf numFmtId="0" fontId="3" fillId="0" borderId="10" xfId="57" applyFont="1" applyBorder="1" applyAlignment="1">
      <alignment horizontal="left" wrapText="1"/>
      <protection/>
    </xf>
    <xf numFmtId="183" fontId="3" fillId="0" borderId="10" xfId="57" applyNumberFormat="1" applyFont="1" applyBorder="1" applyAlignment="1">
      <alignment horizontal="center" wrapText="1"/>
      <protection/>
    </xf>
    <xf numFmtId="0" fontId="3" fillId="0" borderId="14" xfId="57" applyFont="1" applyBorder="1" applyAlignment="1">
      <alignment vertical="center"/>
      <protection/>
    </xf>
    <xf numFmtId="0" fontId="3" fillId="0" borderId="11" xfId="57" applyFont="1" applyBorder="1">
      <alignment/>
      <protection/>
    </xf>
    <xf numFmtId="4" fontId="3" fillId="0" borderId="10" xfId="57" applyNumberFormat="1" applyFont="1" applyBorder="1" applyAlignment="1">
      <alignment horizontal="center"/>
      <protection/>
    </xf>
    <xf numFmtId="0" fontId="3" fillId="0" borderId="0" xfId="57" applyFont="1" applyAlignment="1">
      <alignment vertical="center"/>
      <protection/>
    </xf>
    <xf numFmtId="183" fontId="3" fillId="0" borderId="45" xfId="54" applyNumberFormat="1" applyFont="1" applyFill="1" applyBorder="1" applyAlignment="1">
      <alignment horizontal="right" vertical="center"/>
      <protection/>
    </xf>
    <xf numFmtId="184" fontId="3" fillId="0" borderId="45" xfId="54" applyNumberFormat="1" applyFont="1" applyFill="1" applyBorder="1" applyAlignment="1">
      <alignment horizontal="right" vertical="center"/>
      <protection/>
    </xf>
    <xf numFmtId="0" fontId="5" fillId="0" borderId="0" xfId="0" applyFont="1" applyAlignment="1">
      <alignment horizontal="center"/>
    </xf>
    <xf numFmtId="49" fontId="3" fillId="0" borderId="0" xfId="57" applyNumberFormat="1" applyFont="1" applyAlignment="1">
      <alignment horizontal="center" wrapText="1"/>
      <protection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3" fillId="0" borderId="0" xfId="54" applyFont="1" applyAlignment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22" xfId="58" applyFont="1" applyBorder="1" applyAlignment="1">
      <alignment horizontal="center" wrapText="1"/>
      <protection/>
    </xf>
    <xf numFmtId="0" fontId="53" fillId="0" borderId="10" xfId="58" applyFont="1" applyBorder="1" applyAlignment="1">
      <alignment horizontal="center" vertical="center" wrapText="1"/>
      <protection/>
    </xf>
    <xf numFmtId="0" fontId="52" fillId="0" borderId="10" xfId="58" applyFont="1" applyBorder="1" applyAlignment="1">
      <alignment horizontal="left" vertical="center" wrapText="1"/>
      <protection/>
    </xf>
    <xf numFmtId="0" fontId="52" fillId="0" borderId="10" xfId="58" applyFont="1" applyBorder="1" applyAlignment="1">
      <alignment wrapText="1"/>
      <protection/>
    </xf>
    <xf numFmtId="0" fontId="52" fillId="0" borderId="15" xfId="58" applyFont="1" applyBorder="1" applyAlignment="1">
      <alignment wrapText="1"/>
      <protection/>
    </xf>
    <xf numFmtId="0" fontId="53" fillId="0" borderId="14" xfId="58" applyFont="1" applyBorder="1" applyAlignment="1">
      <alignment horizontal="left" vertical="center" wrapText="1"/>
      <protection/>
    </xf>
    <xf numFmtId="0" fontId="53" fillId="0" borderId="14" xfId="58" applyFont="1" applyFill="1" applyBorder="1" applyAlignment="1">
      <alignment horizontal="left" vertical="center" wrapText="1"/>
      <protection/>
    </xf>
    <xf numFmtId="0" fontId="53" fillId="0" borderId="11" xfId="58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4" fillId="0" borderId="10" xfId="54" applyFont="1" applyBorder="1" applyAlignment="1">
      <alignment horizontal="center" vertical="center" wrapText="1"/>
      <protection/>
    </xf>
    <xf numFmtId="0" fontId="5" fillId="0" borderId="10" xfId="54" applyFont="1" applyBorder="1" applyAlignment="1" applyProtection="1">
      <alignment horizontal="center" vertical="center" wrapText="1"/>
      <protection locked="0"/>
    </xf>
    <xf numFmtId="0" fontId="4" fillId="0" borderId="10" xfId="54" applyFont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49" fontId="3" fillId="0" borderId="11" xfId="57" applyNumberFormat="1" applyFont="1" applyBorder="1" applyAlignment="1">
      <alignment horizontal="center" wrapText="1"/>
      <protection/>
    </xf>
    <xf numFmtId="4" fontId="3" fillId="0" borderId="14" xfId="57" applyNumberFormat="1" applyFont="1" applyBorder="1" applyAlignment="1">
      <alignment horizontal="center" wrapText="1"/>
      <protection/>
    </xf>
    <xf numFmtId="4" fontId="3" fillId="0" borderId="11" xfId="57" applyNumberFormat="1" applyFont="1" applyBorder="1" applyAlignment="1">
      <alignment horizontal="center" wrapText="1"/>
      <protection/>
    </xf>
    <xf numFmtId="49" fontId="3" fillId="0" borderId="22" xfId="57" applyNumberFormat="1" applyFont="1" applyBorder="1" applyAlignment="1">
      <alignment horizontal="left" wrapText="1"/>
      <protection/>
    </xf>
    <xf numFmtId="49" fontId="3" fillId="0" borderId="23" xfId="57" applyNumberFormat="1" applyFont="1" applyBorder="1" applyAlignment="1">
      <alignment horizontal="left" wrapText="1"/>
      <protection/>
    </xf>
    <xf numFmtId="49" fontId="3" fillId="0" borderId="14" xfId="57" applyNumberFormat="1" applyFont="1" applyBorder="1" applyAlignment="1">
      <alignment horizontal="center" vertical="center" wrapText="1"/>
      <protection/>
    </xf>
    <xf numFmtId="49" fontId="3" fillId="0" borderId="11" xfId="57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3" fillId="0" borderId="14" xfId="57" applyNumberFormat="1" applyFont="1" applyBorder="1" applyAlignment="1">
      <alignment horizontal="left" wrapText="1"/>
      <protection/>
    </xf>
    <xf numFmtId="49" fontId="3" fillId="0" borderId="24" xfId="57" applyNumberFormat="1" applyFont="1" applyBorder="1" applyAlignment="1">
      <alignment horizontal="left" wrapText="1"/>
      <protection/>
    </xf>
    <xf numFmtId="4" fontId="3" fillId="0" borderId="22" xfId="57" applyNumberFormat="1" applyFont="1" applyBorder="1" applyAlignment="1">
      <alignment horizontal="center" wrapText="1"/>
      <protection/>
    </xf>
    <xf numFmtId="4" fontId="3" fillId="0" borderId="16" xfId="57" applyNumberFormat="1" applyFont="1" applyBorder="1" applyAlignment="1">
      <alignment horizontal="center" wrapText="1"/>
      <protection/>
    </xf>
    <xf numFmtId="0" fontId="3" fillId="0" borderId="11" xfId="58" applyFont="1" applyBorder="1" applyAlignment="1">
      <alignment horizontal="center" vertical="center"/>
      <protection/>
    </xf>
    <xf numFmtId="0" fontId="3" fillId="0" borderId="24" xfId="58" applyFont="1" applyBorder="1" applyAlignment="1">
      <alignment horizontal="center" vertical="center"/>
      <protection/>
    </xf>
    <xf numFmtId="0" fontId="3" fillId="0" borderId="11" xfId="58" applyFont="1" applyBorder="1" applyAlignment="1">
      <alignment horizontal="right" vertical="center"/>
      <protection/>
    </xf>
    <xf numFmtId="0" fontId="3" fillId="0" borderId="24" xfId="58" applyFont="1" applyBorder="1" applyAlignment="1">
      <alignment horizontal="right" vertical="center"/>
      <protection/>
    </xf>
    <xf numFmtId="1" fontId="3" fillId="0" borderId="11" xfId="58" applyNumberFormat="1" applyFont="1" applyBorder="1" applyAlignment="1">
      <alignment horizontal="center" vertical="center"/>
      <protection/>
    </xf>
    <xf numFmtId="0" fontId="3" fillId="0" borderId="11" xfId="58" applyFont="1" applyBorder="1" applyAlignment="1">
      <alignment/>
      <protection/>
    </xf>
    <xf numFmtId="2" fontId="3" fillId="0" borderId="14" xfId="58" applyNumberFormat="1" applyFont="1" applyBorder="1" applyAlignment="1">
      <alignment horizontal="center" vertical="center"/>
      <protection/>
    </xf>
    <xf numFmtId="2" fontId="3" fillId="0" borderId="11" xfId="58" applyNumberFormat="1" applyFont="1" applyBorder="1" applyAlignment="1">
      <alignment horizontal="center" vertical="center"/>
      <protection/>
    </xf>
    <xf numFmtId="2" fontId="3" fillId="0" borderId="11" xfId="58" applyNumberFormat="1" applyFont="1" applyBorder="1" applyAlignment="1">
      <alignment/>
      <protection/>
    </xf>
    <xf numFmtId="0" fontId="3" fillId="0" borderId="22" xfId="58" applyFont="1" applyBorder="1" applyAlignment="1">
      <alignment horizontal="center" wrapText="1"/>
      <protection/>
    </xf>
    <xf numFmtId="0" fontId="3" fillId="0" borderId="16" xfId="58" applyFont="1" applyBorder="1" applyAlignment="1">
      <alignment horizontal="center" wrapText="1"/>
      <protection/>
    </xf>
    <xf numFmtId="0" fontId="3" fillId="0" borderId="22" xfId="58" applyFont="1" applyBorder="1" applyAlignment="1">
      <alignment horizontal="center" vertical="center" wrapText="1"/>
      <protection/>
    </xf>
    <xf numFmtId="0" fontId="3" fillId="0" borderId="16" xfId="58" applyFont="1" applyBorder="1" applyAlignment="1">
      <alignment horizontal="center" vertical="center" wrapText="1"/>
      <protection/>
    </xf>
    <xf numFmtId="0" fontId="3" fillId="0" borderId="13" xfId="58" applyFont="1" applyBorder="1" applyAlignment="1">
      <alignment horizontal="center" vertical="center" wrapText="1"/>
      <protection/>
    </xf>
    <xf numFmtId="0" fontId="3" fillId="0" borderId="21" xfId="58" applyFont="1" applyBorder="1" applyAlignment="1">
      <alignment horizontal="center" vertical="center" wrapText="1"/>
      <protection/>
    </xf>
    <xf numFmtId="0" fontId="3" fillId="0" borderId="15" xfId="58" applyFont="1" applyBorder="1" applyAlignment="1">
      <alignment horizontal="center" vertical="center" wrapText="1"/>
      <protection/>
    </xf>
    <xf numFmtId="0" fontId="3" fillId="0" borderId="19" xfId="58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/>
    </xf>
    <xf numFmtId="0" fontId="53" fillId="0" borderId="10" xfId="58" applyFont="1" applyBorder="1" applyAlignment="1">
      <alignment horizontal="left" vertical="center" wrapText="1"/>
      <protection/>
    </xf>
    <xf numFmtId="0" fontId="53" fillId="0" borderId="14" xfId="58" applyFont="1" applyBorder="1" applyAlignment="1">
      <alignment horizontal="left" vertical="center" wrapText="1"/>
      <protection/>
    </xf>
    <xf numFmtId="0" fontId="4" fillId="33" borderId="19" xfId="58" applyFont="1" applyFill="1" applyBorder="1" applyAlignment="1">
      <alignment horizontal="center" vertical="center" wrapText="1"/>
      <protection/>
    </xf>
    <xf numFmtId="0" fontId="4" fillId="33" borderId="12" xfId="58" applyFont="1" applyFill="1" applyBorder="1" applyAlignment="1">
      <alignment horizontal="center" vertical="center" wrapText="1"/>
      <protection/>
    </xf>
    <xf numFmtId="0" fontId="53" fillId="0" borderId="11" xfId="58" applyFont="1" applyBorder="1" applyAlignment="1">
      <alignment horizontal="left" vertical="center" wrapText="1"/>
      <protection/>
    </xf>
    <xf numFmtId="2" fontId="52" fillId="0" borderId="13" xfId="58" applyNumberFormat="1" applyFont="1" applyFill="1" applyBorder="1" applyAlignment="1">
      <alignment horizontal="right" vertical="center"/>
      <protection/>
    </xf>
    <xf numFmtId="2" fontId="52" fillId="0" borderId="21" xfId="58" applyNumberFormat="1" applyFont="1" applyFill="1" applyBorder="1" applyAlignment="1">
      <alignment horizontal="right" vertical="center"/>
      <protection/>
    </xf>
    <xf numFmtId="0" fontId="53" fillId="0" borderId="19" xfId="58" applyFont="1" applyBorder="1" applyAlignment="1">
      <alignment horizontal="center" vertical="center" wrapText="1"/>
      <protection/>
    </xf>
    <xf numFmtId="0" fontId="53" fillId="0" borderId="12" xfId="58" applyFont="1" applyBorder="1" applyAlignment="1">
      <alignment horizontal="center" vertical="center" wrapText="1"/>
      <protection/>
    </xf>
    <xf numFmtId="0" fontId="52" fillId="0" borderId="14" xfId="58" applyFont="1" applyBorder="1" applyAlignment="1">
      <alignment horizontal="right" vertical="center" wrapText="1"/>
      <protection/>
    </xf>
    <xf numFmtId="0" fontId="52" fillId="0" borderId="11" xfId="58" applyFont="1" applyBorder="1" applyAlignment="1">
      <alignment horizontal="right" vertical="center" wrapText="1"/>
      <protection/>
    </xf>
    <xf numFmtId="0" fontId="52" fillId="0" borderId="24" xfId="58" applyFont="1" applyBorder="1" applyAlignment="1">
      <alignment horizontal="right" vertical="center" wrapText="1"/>
      <protection/>
    </xf>
    <xf numFmtId="2" fontId="52" fillId="0" borderId="14" xfId="58" applyNumberFormat="1" applyFont="1" applyFill="1" applyBorder="1" applyAlignment="1">
      <alignment horizontal="right" vertical="center" wrapText="1"/>
      <protection/>
    </xf>
    <xf numFmtId="2" fontId="52" fillId="0" borderId="11" xfId="58" applyNumberFormat="1" applyFont="1" applyFill="1" applyBorder="1" applyAlignment="1">
      <alignment horizontal="right" vertical="center" wrapText="1"/>
      <protection/>
    </xf>
    <xf numFmtId="2" fontId="52" fillId="0" borderId="13" xfId="58" applyNumberFormat="1" applyFont="1" applyFill="1" applyBorder="1" applyAlignment="1">
      <alignment horizontal="right" vertical="center" wrapText="1"/>
      <protection/>
    </xf>
    <xf numFmtId="2" fontId="52" fillId="0" borderId="21" xfId="58" applyNumberFormat="1" applyFont="1" applyFill="1" applyBorder="1" applyAlignment="1">
      <alignment horizontal="right" vertical="center" wrapText="1"/>
      <protection/>
    </xf>
    <xf numFmtId="0" fontId="53" fillId="0" borderId="10" xfId="58" applyFont="1" applyFill="1" applyBorder="1" applyAlignment="1">
      <alignment horizontal="left" vertical="center" wrapText="1"/>
      <protection/>
    </xf>
    <xf numFmtId="0" fontId="53" fillId="0" borderId="14" xfId="58" applyFont="1" applyFill="1" applyBorder="1" applyAlignment="1">
      <alignment horizontal="left" vertical="center" wrapText="1"/>
      <protection/>
    </xf>
    <xf numFmtId="0" fontId="53" fillId="0" borderId="10" xfId="58" applyFont="1" applyBorder="1" applyAlignment="1">
      <alignment horizontal="center" vertical="center" wrapText="1"/>
      <protection/>
    </xf>
    <xf numFmtId="0" fontId="52" fillId="0" borderId="16" xfId="58" applyFont="1" applyBorder="1" applyAlignment="1">
      <alignment horizontal="left" vertical="center" wrapText="1"/>
      <protection/>
    </xf>
    <xf numFmtId="0" fontId="52" fillId="0" borderId="10" xfId="58" applyFont="1" applyBorder="1" applyAlignment="1">
      <alignment horizontal="left" vertical="center" wrapText="1"/>
      <protection/>
    </xf>
    <xf numFmtId="0" fontId="52" fillId="0" borderId="10" xfId="58" applyFont="1" applyBorder="1" applyAlignment="1">
      <alignment wrapText="1"/>
      <protection/>
    </xf>
    <xf numFmtId="0" fontId="53" fillId="0" borderId="15" xfId="58" applyFont="1" applyBorder="1" applyAlignment="1">
      <alignment horizontal="center" vertical="center" wrapText="1"/>
      <protection/>
    </xf>
    <xf numFmtId="0" fontId="52" fillId="0" borderId="15" xfId="58" applyFont="1" applyBorder="1" applyAlignment="1">
      <alignment wrapText="1"/>
      <protection/>
    </xf>
    <xf numFmtId="0" fontId="53" fillId="0" borderId="22" xfId="58" applyFont="1" applyBorder="1" applyAlignment="1">
      <alignment horizontal="center" vertical="center" wrapText="1"/>
      <protection/>
    </xf>
    <xf numFmtId="0" fontId="53" fillId="0" borderId="16" xfId="58" applyFont="1" applyBorder="1" applyAlignment="1">
      <alignment horizontal="center" vertical="center" wrapText="1"/>
      <protection/>
    </xf>
    <xf numFmtId="0" fontId="53" fillId="0" borderId="23" xfId="58" applyFont="1" applyBorder="1" applyAlignment="1">
      <alignment horizontal="center" vertical="center" wrapText="1"/>
      <protection/>
    </xf>
    <xf numFmtId="0" fontId="53" fillId="0" borderId="17" xfId="58" applyFont="1" applyBorder="1" applyAlignment="1">
      <alignment horizontal="center" vertical="center" wrapText="1"/>
      <protection/>
    </xf>
    <xf numFmtId="0" fontId="53" fillId="0" borderId="0" xfId="58" applyFont="1" applyBorder="1" applyAlignment="1">
      <alignment horizontal="center" vertical="center" wrapText="1"/>
      <protection/>
    </xf>
    <xf numFmtId="0" fontId="53" fillId="0" borderId="18" xfId="58" applyFont="1" applyBorder="1" applyAlignment="1">
      <alignment horizontal="center" vertical="center" wrapText="1"/>
      <protection/>
    </xf>
    <xf numFmtId="0" fontId="53" fillId="0" borderId="13" xfId="58" applyFont="1" applyBorder="1" applyAlignment="1">
      <alignment horizontal="center" vertical="center" wrapText="1"/>
      <protection/>
    </xf>
    <xf numFmtId="0" fontId="53" fillId="0" borderId="21" xfId="58" applyFont="1" applyBorder="1" applyAlignment="1">
      <alignment horizontal="center" vertical="center" wrapText="1"/>
      <protection/>
    </xf>
    <xf numFmtId="0" fontId="53" fillId="0" borderId="20" xfId="58" applyFont="1" applyBorder="1" applyAlignment="1">
      <alignment horizontal="center" vertical="center" wrapText="1"/>
      <protection/>
    </xf>
    <xf numFmtId="0" fontId="3" fillId="0" borderId="22" xfId="57" applyFont="1" applyBorder="1" applyAlignment="1">
      <alignment horizontal="center" vertical="top" wrapText="1"/>
      <protection/>
    </xf>
    <xf numFmtId="0" fontId="3" fillId="0" borderId="16" xfId="57" applyFont="1" applyBorder="1" applyAlignment="1">
      <alignment horizontal="center" vertical="top" wrapText="1"/>
      <protection/>
    </xf>
    <xf numFmtId="0" fontId="4" fillId="0" borderId="21" xfId="57" applyFont="1" applyBorder="1" applyAlignment="1">
      <alignment horizontal="left" wrapText="1"/>
      <protection/>
    </xf>
    <xf numFmtId="0" fontId="3" fillId="0" borderId="11" xfId="57" applyFont="1" applyBorder="1" applyAlignment="1">
      <alignment horizontal="center" vertical="top" wrapText="1"/>
      <protection/>
    </xf>
    <xf numFmtId="0" fontId="3" fillId="0" borderId="12" xfId="57" applyFont="1" applyBorder="1" applyAlignment="1">
      <alignment horizontal="center" vertical="top" wrapText="1"/>
      <protection/>
    </xf>
    <xf numFmtId="0" fontId="3" fillId="0" borderId="24" xfId="57" applyFont="1" applyBorder="1" applyAlignment="1">
      <alignment horizontal="center" vertical="top" wrapText="1"/>
      <protection/>
    </xf>
    <xf numFmtId="0" fontId="3" fillId="0" borderId="15" xfId="57" applyFont="1" applyBorder="1" applyAlignment="1">
      <alignment horizontal="center" vertical="top" wrapText="1"/>
      <protection/>
    </xf>
    <xf numFmtId="0" fontId="3" fillId="0" borderId="19" xfId="57" applyFont="1" applyBorder="1" applyAlignment="1">
      <alignment horizontal="center" vertical="top" wrapText="1"/>
      <protection/>
    </xf>
    <xf numFmtId="0" fontId="6" fillId="0" borderId="14" xfId="57" applyFont="1" applyBorder="1" applyAlignment="1">
      <alignment horizontal="left" vertical="top" wrapText="1"/>
      <protection/>
    </xf>
    <xf numFmtId="0" fontId="6" fillId="0" borderId="11" xfId="57" applyFont="1" applyBorder="1" applyAlignment="1">
      <alignment horizontal="left" vertical="top" wrapText="1"/>
      <protection/>
    </xf>
    <xf numFmtId="0" fontId="6" fillId="0" borderId="22" xfId="57" applyFont="1" applyBorder="1" applyAlignment="1">
      <alignment horizontal="left" vertical="top" wrapText="1"/>
      <protection/>
    </xf>
    <xf numFmtId="0" fontId="6" fillId="0" borderId="16" xfId="57" applyFont="1" applyBorder="1" applyAlignment="1">
      <alignment horizontal="left" vertical="top" wrapText="1"/>
      <protection/>
    </xf>
    <xf numFmtId="0" fontId="3" fillId="0" borderId="12" xfId="57" applyFont="1" applyBorder="1" applyAlignment="1">
      <alignment horizontal="left" vertical="top" wrapText="1"/>
      <protection/>
    </xf>
    <xf numFmtId="0" fontId="3" fillId="0" borderId="15" xfId="57" applyFont="1" applyBorder="1" applyAlignment="1">
      <alignment horizontal="left" vertical="top" wrapText="1"/>
      <protection/>
    </xf>
    <xf numFmtId="0" fontId="3" fillId="0" borderId="19" xfId="57" applyFont="1" applyBorder="1" applyAlignment="1">
      <alignment horizontal="left" vertical="top" wrapText="1"/>
      <protection/>
    </xf>
    <xf numFmtId="0" fontId="3" fillId="0" borderId="0" xfId="57" applyFont="1" applyBorder="1" applyAlignment="1">
      <alignment horizontal="center" vertical="top" wrapText="1"/>
      <protection/>
    </xf>
    <xf numFmtId="2" fontId="3" fillId="0" borderId="15" xfId="57" applyNumberFormat="1" applyFont="1" applyBorder="1" applyAlignment="1">
      <alignment horizontal="center" wrapText="1"/>
      <protection/>
    </xf>
    <xf numFmtId="2" fontId="3" fillId="0" borderId="12" xfId="57" applyNumberFormat="1" applyFont="1" applyBorder="1" applyAlignment="1">
      <alignment horizontal="center" wrapText="1"/>
      <protection/>
    </xf>
    <xf numFmtId="0" fontId="3" fillId="0" borderId="17" xfId="57" applyFont="1" applyBorder="1" applyAlignment="1">
      <alignment horizontal="center" vertical="top" wrapText="1"/>
      <protection/>
    </xf>
    <xf numFmtId="0" fontId="4" fillId="0" borderId="14" xfId="57" applyFont="1" applyBorder="1" applyAlignment="1">
      <alignment horizontal="left" vertical="top" wrapText="1"/>
      <protection/>
    </xf>
    <xf numFmtId="0" fontId="4" fillId="0" borderId="11" xfId="57" applyFont="1" applyBorder="1" applyAlignment="1">
      <alignment horizontal="left" vertical="top" wrapText="1"/>
      <protection/>
    </xf>
    <xf numFmtId="0" fontId="3" fillId="0" borderId="11" xfId="57" applyFont="1" applyBorder="1" applyAlignment="1">
      <alignment horizontal="left"/>
      <protection/>
    </xf>
    <xf numFmtId="0" fontId="3" fillId="0" borderId="15" xfId="57" applyFont="1" applyBorder="1" applyAlignment="1">
      <alignment horizontal="left" vertical="center" wrapText="1"/>
      <protection/>
    </xf>
    <xf numFmtId="0" fontId="3" fillId="0" borderId="12" xfId="57" applyFont="1" applyBorder="1" applyAlignment="1">
      <alignment horizontal="left" wrapText="1"/>
      <protection/>
    </xf>
    <xf numFmtId="0" fontId="3" fillId="0" borderId="19" xfId="57" applyFont="1" applyBorder="1" applyAlignment="1">
      <alignment horizontal="left" wrapText="1"/>
      <protection/>
    </xf>
    <xf numFmtId="0" fontId="3" fillId="0" borderId="14" xfId="57" applyFont="1" applyBorder="1" applyAlignment="1">
      <alignment wrapText="1"/>
      <protection/>
    </xf>
    <xf numFmtId="0" fontId="3" fillId="0" borderId="11" xfId="57" applyFont="1" applyBorder="1" applyAlignment="1">
      <alignment wrapText="1"/>
      <protection/>
    </xf>
    <xf numFmtId="0" fontId="3" fillId="0" borderId="14" xfId="57" applyFont="1" applyBorder="1" applyAlignment="1">
      <alignment horizontal="left" vertical="center" indent="2"/>
      <protection/>
    </xf>
    <xf numFmtId="0" fontId="3" fillId="0" borderId="11" xfId="57" applyFont="1" applyBorder="1" applyAlignment="1">
      <alignment horizontal="left" vertical="center" indent="2"/>
      <protection/>
    </xf>
    <xf numFmtId="0" fontId="3" fillId="0" borderId="13" xfId="57" applyFont="1" applyBorder="1" applyAlignment="1">
      <alignment horizontal="left" vertical="center" indent="2"/>
      <protection/>
    </xf>
    <xf numFmtId="0" fontId="3" fillId="0" borderId="21" xfId="57" applyFont="1" applyBorder="1" applyAlignment="1">
      <alignment horizontal="left" vertical="center" indent="2"/>
      <protection/>
    </xf>
    <xf numFmtId="0" fontId="3" fillId="0" borderId="11" xfId="57" applyFont="1" applyBorder="1" applyAlignment="1">
      <alignment horizontal="center" vertical="center"/>
      <protection/>
    </xf>
    <xf numFmtId="0" fontId="3" fillId="0" borderId="12" xfId="57" applyFont="1" applyBorder="1" applyAlignment="1">
      <alignment horizontal="left" vertical="center" wrapText="1"/>
      <protection/>
    </xf>
    <xf numFmtId="0" fontId="3" fillId="0" borderId="11" xfId="57" applyFont="1" applyBorder="1" applyAlignment="1">
      <alignment horizontal="left" vertical="top" wrapText="1"/>
      <protection/>
    </xf>
    <xf numFmtId="2" fontId="3" fillId="0" borderId="19" xfId="57" applyNumberFormat="1" applyFont="1" applyBorder="1" applyAlignment="1">
      <alignment horizontal="center" wrapText="1"/>
      <protection/>
    </xf>
    <xf numFmtId="2" fontId="3" fillId="0" borderId="15" xfId="57" applyNumberFormat="1" applyFont="1" applyBorder="1" applyAlignment="1">
      <alignment horizontal="center" vertical="top" wrapText="1"/>
      <protection/>
    </xf>
    <xf numFmtId="2" fontId="3" fillId="0" borderId="12" xfId="57" applyNumberFormat="1" applyFont="1" applyBorder="1" applyAlignment="1">
      <alignment horizontal="center" vertical="top" wrapText="1"/>
      <protection/>
    </xf>
    <xf numFmtId="49" fontId="3" fillId="0" borderId="0" xfId="57" applyNumberFormat="1" applyFont="1" applyAlignment="1">
      <alignment horizontal="center" wrapText="1"/>
      <protection/>
    </xf>
    <xf numFmtId="0" fontId="3" fillId="0" borderId="14" xfId="57" applyFont="1" applyBorder="1" applyAlignment="1">
      <alignment horizontal="center" vertical="center" wrapText="1"/>
      <protection/>
    </xf>
    <xf numFmtId="0" fontId="3" fillId="0" borderId="24" xfId="57" applyFont="1" applyBorder="1" applyAlignment="1">
      <alignment horizontal="center" vertical="center" wrapText="1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23" xfId="57" applyFont="1" applyBorder="1" applyAlignment="1">
      <alignment horizontal="center" wrapText="1"/>
      <protection/>
    </xf>
    <xf numFmtId="0" fontId="4" fillId="0" borderId="10" xfId="57" applyFont="1" applyBorder="1" applyAlignment="1">
      <alignment horizontal="left" vertical="top" wrapText="1"/>
      <protection/>
    </xf>
    <xf numFmtId="0" fontId="4" fillId="0" borderId="14" xfId="66" applyFont="1" applyBorder="1" applyAlignment="1">
      <alignment horizontal="center" vertical="center"/>
      <protection/>
    </xf>
    <xf numFmtId="0" fontId="4" fillId="0" borderId="11" xfId="66" applyFont="1" applyBorder="1" applyAlignment="1">
      <alignment horizontal="center" vertical="center"/>
      <protection/>
    </xf>
    <xf numFmtId="0" fontId="4" fillId="0" borderId="24" xfId="66" applyFont="1" applyBorder="1" applyAlignment="1">
      <alignment horizontal="center" vertical="center"/>
      <protection/>
    </xf>
    <xf numFmtId="4" fontId="4" fillId="0" borderId="14" xfId="66" applyNumberFormat="1" applyFont="1" applyBorder="1" applyAlignment="1">
      <alignment horizontal="right"/>
      <protection/>
    </xf>
    <xf numFmtId="4" fontId="4" fillId="0" borderId="11" xfId="66" applyNumberFormat="1" applyFont="1" applyBorder="1" applyAlignment="1">
      <alignment horizontal="right"/>
      <protection/>
    </xf>
    <xf numFmtId="4" fontId="4" fillId="0" borderId="24" xfId="66" applyNumberFormat="1" applyFont="1" applyBorder="1" applyAlignment="1">
      <alignment horizontal="right"/>
      <protection/>
    </xf>
    <xf numFmtId="0" fontId="4" fillId="0" borderId="47" xfId="66" applyFont="1" applyFill="1" applyBorder="1" applyAlignment="1">
      <alignment horizontal="center" wrapText="1"/>
      <protection/>
    </xf>
    <xf numFmtId="0" fontId="4" fillId="0" borderId="11" xfId="66" applyFont="1" applyFill="1" applyBorder="1" applyAlignment="1">
      <alignment horizontal="center" wrapText="1"/>
      <protection/>
    </xf>
    <xf numFmtId="0" fontId="4" fillId="0" borderId="24" xfId="66" applyFont="1" applyFill="1" applyBorder="1" applyAlignment="1">
      <alignment horizontal="center" wrapText="1"/>
      <protection/>
    </xf>
    <xf numFmtId="0" fontId="4" fillId="0" borderId="47" xfId="66" applyFont="1" applyBorder="1" applyAlignment="1">
      <alignment horizontal="center" wrapText="1"/>
      <protection/>
    </xf>
    <xf numFmtId="0" fontId="4" fillId="0" borderId="11" xfId="66" applyFont="1" applyBorder="1" applyAlignment="1">
      <alignment horizontal="center" wrapText="1"/>
      <protection/>
    </xf>
    <xf numFmtId="0" fontId="4" fillId="0" borderId="24" xfId="66" applyFont="1" applyBorder="1" applyAlignment="1">
      <alignment horizontal="center" wrapText="1"/>
      <protection/>
    </xf>
    <xf numFmtId="0" fontId="3" fillId="0" borderId="48" xfId="66" applyFont="1" applyBorder="1" applyAlignment="1">
      <alignment horizontal="center" vertical="center" wrapText="1"/>
      <protection/>
    </xf>
    <xf numFmtId="0" fontId="3" fillId="0" borderId="49" xfId="66" applyFont="1" applyBorder="1" applyAlignment="1">
      <alignment horizontal="center" vertical="center" wrapText="1"/>
      <protection/>
    </xf>
    <xf numFmtId="0" fontId="3" fillId="0" borderId="50" xfId="66" applyFont="1" applyBorder="1" applyAlignment="1">
      <alignment horizontal="center" vertical="center" wrapText="1"/>
      <protection/>
    </xf>
    <xf numFmtId="0" fontId="3" fillId="0" borderId="14" xfId="66" applyFont="1" applyBorder="1" applyAlignment="1">
      <alignment horizontal="center" wrapText="1"/>
      <protection/>
    </xf>
    <xf numFmtId="0" fontId="3" fillId="0" borderId="11" xfId="66" applyFont="1" applyBorder="1" applyAlignment="1">
      <alignment horizontal="center" wrapText="1"/>
      <protection/>
    </xf>
    <xf numFmtId="0" fontId="3" fillId="0" borderId="24" xfId="66" applyFont="1" applyBorder="1" applyAlignment="1">
      <alignment horizontal="center" wrapText="1"/>
      <protection/>
    </xf>
    <xf numFmtId="0" fontId="3" fillId="0" borderId="22" xfId="66" applyFont="1" applyBorder="1" applyAlignment="1">
      <alignment horizontal="center" wrapText="1"/>
      <protection/>
    </xf>
    <xf numFmtId="0" fontId="3" fillId="0" borderId="16" xfId="66" applyFont="1" applyBorder="1" applyAlignment="1">
      <alignment horizontal="center" wrapText="1"/>
      <protection/>
    </xf>
    <xf numFmtId="0" fontId="3" fillId="0" borderId="23" xfId="66" applyFont="1" applyBorder="1" applyAlignment="1">
      <alignment horizontal="center" wrapText="1"/>
      <protection/>
    </xf>
    <xf numFmtId="0" fontId="3" fillId="0" borderId="17" xfId="66" applyFont="1" applyBorder="1" applyAlignment="1">
      <alignment horizontal="center" wrapText="1"/>
      <protection/>
    </xf>
    <xf numFmtId="0" fontId="3" fillId="0" borderId="0" xfId="66" applyFont="1" applyBorder="1" applyAlignment="1">
      <alignment horizontal="center" wrapText="1"/>
      <protection/>
    </xf>
    <xf numFmtId="0" fontId="3" fillId="0" borderId="18" xfId="66" applyFont="1" applyBorder="1" applyAlignment="1">
      <alignment horizontal="center" wrapText="1"/>
      <protection/>
    </xf>
    <xf numFmtId="0" fontId="3" fillId="0" borderId="13" xfId="66" applyFont="1" applyBorder="1" applyAlignment="1">
      <alignment horizontal="center" wrapText="1"/>
      <protection/>
    </xf>
    <xf numFmtId="0" fontId="3" fillId="0" borderId="21" xfId="66" applyFont="1" applyBorder="1" applyAlignment="1">
      <alignment horizontal="center" wrapText="1"/>
      <protection/>
    </xf>
    <xf numFmtId="0" fontId="3" fillId="0" borderId="20" xfId="66" applyFont="1" applyBorder="1" applyAlignment="1">
      <alignment horizontal="center" wrapText="1"/>
      <protection/>
    </xf>
    <xf numFmtId="0" fontId="4" fillId="0" borderId="47" xfId="66" applyFont="1" applyBorder="1" applyAlignment="1">
      <alignment horizontal="center" vertical="center" wrapText="1"/>
      <protection/>
    </xf>
    <xf numFmtId="0" fontId="4" fillId="0" borderId="11" xfId="66" applyFont="1" applyBorder="1" applyAlignment="1">
      <alignment horizontal="center" vertical="center" wrapText="1"/>
      <protection/>
    </xf>
    <xf numFmtId="0" fontId="4" fillId="0" borderId="21" xfId="66" applyFont="1" applyBorder="1" applyAlignment="1">
      <alignment horizontal="center" vertical="center" wrapText="1"/>
      <protection/>
    </xf>
    <xf numFmtId="0" fontId="3" fillId="0" borderId="14" xfId="57" applyFont="1" applyBorder="1" applyAlignment="1">
      <alignment horizontal="left" wrapText="1"/>
      <protection/>
    </xf>
    <xf numFmtId="0" fontId="3" fillId="0" borderId="11" xfId="57" applyFont="1" applyBorder="1" applyAlignment="1">
      <alignment horizontal="left" wrapText="1"/>
      <protection/>
    </xf>
    <xf numFmtId="0" fontId="3" fillId="0" borderId="14" xfId="63" applyFont="1" applyBorder="1" applyAlignment="1">
      <alignment horizontal="center" wrapText="1"/>
      <protection/>
    </xf>
    <xf numFmtId="0" fontId="3" fillId="0" borderId="11" xfId="63" applyFont="1" applyBorder="1" applyAlignment="1">
      <alignment horizontal="center" wrapText="1"/>
      <protection/>
    </xf>
    <xf numFmtId="0" fontId="4" fillId="0" borderId="14" xfId="57" applyFont="1" applyBorder="1" applyAlignment="1">
      <alignment horizontal="left" wrapText="1"/>
      <protection/>
    </xf>
    <xf numFmtId="0" fontId="4" fillId="0" borderId="11" xfId="57" applyFont="1" applyBorder="1" applyAlignment="1">
      <alignment horizontal="left" wrapText="1"/>
      <protection/>
    </xf>
    <xf numFmtId="0" fontId="3" fillId="0" borderId="15" xfId="63" applyFont="1" applyBorder="1" applyAlignment="1">
      <alignment horizontal="center" vertical="center" wrapText="1"/>
      <protection/>
    </xf>
    <xf numFmtId="0" fontId="3" fillId="0" borderId="19" xfId="63" applyFont="1" applyBorder="1" applyAlignment="1">
      <alignment horizontal="center" vertical="center" wrapText="1"/>
      <protection/>
    </xf>
    <xf numFmtId="0" fontId="3" fillId="0" borderId="22" xfId="63" applyFont="1" applyBorder="1" applyAlignment="1">
      <alignment horizontal="center" vertical="center" wrapText="1"/>
      <protection/>
    </xf>
    <xf numFmtId="0" fontId="3" fillId="0" borderId="16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3" fillId="0" borderId="21" xfId="63" applyFont="1" applyBorder="1" applyAlignment="1">
      <alignment horizontal="center" vertical="center" wrapText="1"/>
      <protection/>
    </xf>
    <xf numFmtId="0" fontId="3" fillId="0" borderId="15" xfId="63" applyFont="1" applyBorder="1" applyAlignment="1">
      <alignment vertical="center" wrapText="1"/>
      <protection/>
    </xf>
    <xf numFmtId="0" fontId="3" fillId="0" borderId="19" xfId="63" applyFont="1" applyBorder="1" applyAlignment="1">
      <alignment vertical="center" wrapText="1"/>
      <protection/>
    </xf>
    <xf numFmtId="0" fontId="3" fillId="0" borderId="0" xfId="57" applyFont="1" applyBorder="1" applyAlignment="1">
      <alignment horizontal="lef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3" fillId="0" borderId="0" xfId="57" applyFont="1" applyAlignment="1">
      <alignment horizontal="left" wrapText="1"/>
      <protection/>
    </xf>
    <xf numFmtId="49" fontId="3" fillId="0" borderId="0" xfId="57" applyNumberFormat="1" applyFont="1" applyAlignment="1">
      <alignment horizontal="left" wrapText="1"/>
      <protection/>
    </xf>
    <xf numFmtId="4" fontId="3" fillId="0" borderId="0" xfId="0" applyNumberFormat="1" applyFont="1" applyAlignment="1">
      <alignment/>
    </xf>
    <xf numFmtId="171" fontId="3" fillId="0" borderId="0" xfId="74" applyNumberFormat="1" applyFont="1" applyAlignment="1">
      <alignment horizontal="right"/>
    </xf>
    <xf numFmtId="0" fontId="3" fillId="0" borderId="16" xfId="0" applyFont="1" applyBorder="1" applyAlignment="1">
      <alignment/>
    </xf>
    <xf numFmtId="207" fontId="3" fillId="0" borderId="0" xfId="0" applyNumberFormat="1" applyFont="1" applyAlignment="1">
      <alignment horizontal="center"/>
    </xf>
    <xf numFmtId="208" fontId="3" fillId="0" borderId="0" xfId="0" applyNumberFormat="1" applyFont="1" applyAlignment="1">
      <alignment horizontal="center"/>
    </xf>
    <xf numFmtId="0" fontId="3" fillId="0" borderId="19" xfId="0" applyFont="1" applyBorder="1" applyAlignment="1">
      <alignment/>
    </xf>
    <xf numFmtId="49" fontId="3" fillId="0" borderId="10" xfId="57" applyNumberFormat="1" applyFont="1" applyBorder="1" applyAlignment="1">
      <alignment horizontal="center" vertical="center" wrapText="1"/>
      <protection/>
    </xf>
    <xf numFmtId="49" fontId="3" fillId="0" borderId="24" xfId="57" applyNumberFormat="1" applyFont="1" applyBorder="1" applyAlignment="1">
      <alignment horizontal="center" vertical="center" wrapText="1"/>
      <protection/>
    </xf>
    <xf numFmtId="49" fontId="3" fillId="0" borderId="14" xfId="57" applyNumberFormat="1" applyFont="1" applyBorder="1" applyAlignment="1">
      <alignment horizontal="center" wrapText="1"/>
      <protection/>
    </xf>
    <xf numFmtId="49" fontId="3" fillId="0" borderId="24" xfId="57" applyNumberFormat="1" applyFont="1" applyBorder="1" applyAlignment="1">
      <alignment horizontal="center" wrapText="1"/>
      <protection/>
    </xf>
    <xf numFmtId="49" fontId="3" fillId="0" borderId="24" xfId="57" applyNumberFormat="1" applyFont="1" applyBorder="1" applyAlignment="1">
      <alignment horizontal="center" wrapText="1"/>
      <protection/>
    </xf>
    <xf numFmtId="49" fontId="3" fillId="0" borderId="15" xfId="57" applyNumberFormat="1" applyFont="1" applyBorder="1" applyAlignment="1">
      <alignment horizontal="center" vertical="top" wrapText="1"/>
      <protection/>
    </xf>
    <xf numFmtId="49" fontId="3" fillId="0" borderId="15" xfId="57" applyNumberFormat="1" applyFont="1" applyFill="1" applyBorder="1" applyAlignment="1">
      <alignment vertical="top" wrapText="1"/>
      <protection/>
    </xf>
    <xf numFmtId="0" fontId="3" fillId="0" borderId="14" xfId="57" applyNumberFormat="1" applyFont="1" applyBorder="1" applyAlignment="1">
      <alignment horizontal="left" vertical="top" wrapText="1"/>
      <protection/>
    </xf>
    <xf numFmtId="0" fontId="3" fillId="0" borderId="24" xfId="57" applyNumberFormat="1" applyFont="1" applyBorder="1" applyAlignment="1">
      <alignment horizontal="left" vertical="top" wrapText="1"/>
      <protection/>
    </xf>
    <xf numFmtId="0" fontId="52" fillId="0" borderId="16" xfId="0" applyFont="1" applyBorder="1" applyAlignment="1">
      <alignment horizontal="right"/>
    </xf>
    <xf numFmtId="2" fontId="3" fillId="0" borderId="16" xfId="57" applyNumberFormat="1" applyFont="1" applyBorder="1" applyAlignment="1">
      <alignment horizontal="right" wrapText="1"/>
      <protection/>
    </xf>
    <xf numFmtId="0" fontId="3" fillId="0" borderId="16" xfId="57" applyNumberFormat="1" applyFont="1" applyBorder="1" applyAlignment="1">
      <alignment wrapText="1"/>
      <protection/>
    </xf>
    <xf numFmtId="0" fontId="3" fillId="0" borderId="16" xfId="57" applyNumberFormat="1" applyFont="1" applyBorder="1" applyAlignment="1">
      <alignment horizontal="left" wrapText="1"/>
      <protection/>
    </xf>
    <xf numFmtId="172" fontId="3" fillId="0" borderId="16" xfId="57" applyNumberFormat="1" applyFont="1" applyBorder="1" applyAlignment="1">
      <alignment horizontal="left" wrapText="1"/>
      <protection/>
    </xf>
    <xf numFmtId="175" fontId="3" fillId="0" borderId="16" xfId="0" applyNumberFormat="1" applyFont="1" applyBorder="1" applyAlignment="1">
      <alignment/>
    </xf>
    <xf numFmtId="183" fontId="3" fillId="0" borderId="15" xfId="57" applyNumberFormat="1" applyFont="1" applyBorder="1" applyAlignment="1">
      <alignment horizontal="right" wrapText="1"/>
      <protection/>
    </xf>
    <xf numFmtId="49" fontId="3" fillId="0" borderId="12" xfId="57" applyNumberFormat="1" applyFont="1" applyBorder="1" applyAlignment="1">
      <alignment horizontal="center" wrapText="1"/>
      <protection/>
    </xf>
    <xf numFmtId="49" fontId="3" fillId="0" borderId="12" xfId="57" applyNumberFormat="1" applyFont="1" applyFill="1" applyBorder="1" applyAlignment="1">
      <alignment vertical="top" wrapText="1"/>
      <protection/>
    </xf>
    <xf numFmtId="0" fontId="3" fillId="0" borderId="10" xfId="57" applyNumberFormat="1" applyFont="1" applyBorder="1" applyAlignment="1">
      <alignment horizontal="left" vertical="top" wrapText="1"/>
      <protection/>
    </xf>
    <xf numFmtId="2" fontId="3" fillId="0" borderId="19" xfId="57" applyNumberFormat="1" applyFont="1" applyBorder="1" applyAlignment="1">
      <alignment horizontal="left" vertical="top" wrapText="1"/>
      <protection/>
    </xf>
    <xf numFmtId="0" fontId="3" fillId="0" borderId="0" xfId="57" applyNumberFormat="1" applyFont="1" applyBorder="1" applyAlignment="1">
      <alignment horizontal="left" vertical="top" wrapText="1"/>
      <protection/>
    </xf>
    <xf numFmtId="49" fontId="3" fillId="0" borderId="0" xfId="57" applyNumberFormat="1" applyFont="1" applyBorder="1" applyAlignment="1">
      <alignment horizontal="left" vertical="top" wrapText="1"/>
      <protection/>
    </xf>
    <xf numFmtId="49" fontId="3" fillId="0" borderId="18" xfId="57" applyNumberFormat="1" applyFont="1" applyBorder="1" applyAlignment="1">
      <alignment horizontal="left" vertical="top" wrapText="1"/>
      <protection/>
    </xf>
    <xf numFmtId="172" fontId="3" fillId="0" borderId="12" xfId="57" applyNumberFormat="1" applyFont="1" applyBorder="1" applyAlignment="1">
      <alignment horizontal="right" vertical="top" wrapText="1"/>
      <protection/>
    </xf>
    <xf numFmtId="0" fontId="3" fillId="0" borderId="19" xfId="57" applyNumberFormat="1" applyFont="1" applyBorder="1" applyAlignment="1">
      <alignment horizontal="left" vertical="top" wrapText="1"/>
      <protection/>
    </xf>
    <xf numFmtId="0" fontId="3" fillId="0" borderId="0" xfId="57" applyNumberFormat="1" applyFont="1" applyBorder="1" applyAlignment="1">
      <alignment horizontal="right" wrapText="1"/>
      <protection/>
    </xf>
    <xf numFmtId="0" fontId="3" fillId="0" borderId="0" xfId="57" applyNumberFormat="1" applyFont="1" applyBorder="1" applyAlignment="1">
      <alignment horizontal="left" wrapText="1"/>
      <protection/>
    </xf>
    <xf numFmtId="0" fontId="3" fillId="0" borderId="0" xfId="57" applyNumberFormat="1" applyFont="1" applyBorder="1" applyAlignment="1">
      <alignment wrapText="1"/>
      <protection/>
    </xf>
    <xf numFmtId="2" fontId="3" fillId="0" borderId="0" xfId="57" applyNumberFormat="1" applyFont="1" applyBorder="1" applyAlignment="1">
      <alignment wrapText="1"/>
      <protection/>
    </xf>
    <xf numFmtId="49" fontId="3" fillId="0" borderId="0" xfId="57" applyNumberFormat="1" applyFont="1" applyBorder="1" applyAlignment="1">
      <alignment horizontal="left" wrapText="1"/>
      <protection/>
    </xf>
    <xf numFmtId="2" fontId="3" fillId="0" borderId="0" xfId="57" applyNumberFormat="1" applyFont="1" applyFill="1" applyBorder="1" applyAlignment="1">
      <alignment horizontal="left" wrapText="1"/>
      <protection/>
    </xf>
    <xf numFmtId="175" fontId="3" fillId="0" borderId="0" xfId="57" applyNumberFormat="1" applyFont="1" applyBorder="1" applyAlignment="1">
      <alignment wrapText="1"/>
      <protection/>
    </xf>
    <xf numFmtId="2" fontId="3" fillId="0" borderId="0" xfId="57" applyNumberFormat="1" applyFont="1" applyBorder="1" applyAlignment="1">
      <alignment horizontal="center" wrapText="1"/>
      <protection/>
    </xf>
    <xf numFmtId="49" fontId="3" fillId="0" borderId="19" xfId="57" applyNumberFormat="1" applyFont="1" applyFill="1" applyBorder="1" applyAlignment="1">
      <alignment vertical="top" wrapText="1"/>
      <protection/>
    </xf>
    <xf numFmtId="0" fontId="3" fillId="0" borderId="10" xfId="57" applyNumberFormat="1" applyFont="1" applyFill="1" applyBorder="1" applyAlignment="1">
      <alignment horizontal="left" vertical="top" wrapText="1"/>
      <protection/>
    </xf>
    <xf numFmtId="0" fontId="3" fillId="0" borderId="14" xfId="57" applyNumberFormat="1" applyFont="1" applyBorder="1" applyAlignment="1">
      <alignment vertical="top" wrapText="1"/>
      <protection/>
    </xf>
    <xf numFmtId="0" fontId="3" fillId="0" borderId="24" xfId="57" applyNumberFormat="1" applyFont="1" applyBorder="1" applyAlignment="1">
      <alignment vertical="top" wrapText="1"/>
      <protection/>
    </xf>
    <xf numFmtId="49" fontId="3" fillId="0" borderId="19" xfId="57" applyNumberFormat="1" applyFont="1" applyBorder="1" applyAlignment="1">
      <alignment horizontal="center" wrapText="1"/>
      <protection/>
    </xf>
    <xf numFmtId="0" fontId="3" fillId="0" borderId="14" xfId="58" applyNumberFormat="1" applyFont="1" applyBorder="1" applyAlignment="1">
      <alignment horizontal="center" vertical="top" wrapText="1"/>
      <protection/>
    </xf>
    <xf numFmtId="0" fontId="3" fillId="0" borderId="24" xfId="58" applyNumberFormat="1" applyFont="1" applyBorder="1" applyAlignment="1">
      <alignment horizontal="center" vertical="top" wrapText="1"/>
      <protection/>
    </xf>
    <xf numFmtId="0" fontId="3" fillId="0" borderId="19" xfId="58" applyNumberFormat="1" applyFont="1" applyBorder="1" applyAlignment="1">
      <alignment horizontal="left" vertical="top" wrapText="1"/>
      <protection/>
    </xf>
    <xf numFmtId="0" fontId="3" fillId="0" borderId="21" xfId="57" applyNumberFormat="1" applyFont="1" applyBorder="1" applyAlignment="1">
      <alignment horizontal="left" vertical="top" wrapText="1"/>
      <protection/>
    </xf>
    <xf numFmtId="49" fontId="3" fillId="0" borderId="21" xfId="57" applyNumberFormat="1" applyFont="1" applyBorder="1" applyAlignment="1">
      <alignment horizontal="left" vertical="top" wrapText="1"/>
      <protection/>
    </xf>
    <xf numFmtId="49" fontId="3" fillId="0" borderId="20" xfId="57" applyNumberFormat="1" applyFont="1" applyBorder="1" applyAlignment="1">
      <alignment horizontal="left" vertical="top" wrapText="1"/>
      <protection/>
    </xf>
    <xf numFmtId="172" fontId="3" fillId="0" borderId="19" xfId="57" applyNumberFormat="1" applyFont="1" applyBorder="1" applyAlignment="1">
      <alignment horizontal="right" vertical="top" wrapText="1"/>
      <protection/>
    </xf>
    <xf numFmtId="49" fontId="3" fillId="0" borderId="19" xfId="57" applyNumberFormat="1" applyFont="1" applyBorder="1" applyAlignment="1">
      <alignment horizontal="center" vertical="top" wrapText="1"/>
      <protection/>
    </xf>
    <xf numFmtId="49" fontId="3" fillId="0" borderId="17" xfId="57" applyNumberFormat="1" applyFont="1" applyBorder="1" applyAlignment="1">
      <alignment horizontal="left" vertical="top" wrapText="1"/>
      <protection/>
    </xf>
    <xf numFmtId="0" fontId="3" fillId="0" borderId="17" xfId="57" applyNumberFormat="1" applyFont="1" applyBorder="1" applyAlignment="1">
      <alignment horizontal="center" vertical="top" wrapText="1"/>
      <protection/>
    </xf>
    <xf numFmtId="0" fontId="3" fillId="0" borderId="0" xfId="57" applyNumberFormat="1" applyFont="1" applyBorder="1" applyAlignment="1">
      <alignment horizontal="center" vertical="top" wrapText="1"/>
      <protection/>
    </xf>
    <xf numFmtId="0" fontId="3" fillId="0" borderId="18" xfId="57" applyNumberFormat="1" applyFont="1" applyBorder="1" applyAlignment="1">
      <alignment horizontal="center" vertical="top" wrapText="1"/>
      <protection/>
    </xf>
    <xf numFmtId="4" fontId="3" fillId="0" borderId="12" xfId="57" applyNumberFormat="1" applyFont="1" applyBorder="1" applyAlignment="1">
      <alignment horizontal="right" vertical="top" wrapText="1"/>
      <protection/>
    </xf>
    <xf numFmtId="4" fontId="3" fillId="0" borderId="10" xfId="0" applyNumberFormat="1" applyFont="1" applyBorder="1" applyAlignment="1">
      <alignment/>
    </xf>
    <xf numFmtId="49" fontId="3" fillId="0" borderId="10" xfId="57" applyNumberFormat="1" applyFont="1" applyBorder="1" applyAlignment="1">
      <alignment horizontal="center" vertical="top" wrapText="1"/>
      <protection/>
    </xf>
    <xf numFmtId="9" fontId="3" fillId="0" borderId="10" xfId="57" applyNumberFormat="1" applyFont="1" applyBorder="1" applyAlignment="1">
      <alignment horizontal="left" wrapText="1"/>
      <protection/>
    </xf>
    <xf numFmtId="0" fontId="3" fillId="0" borderId="11" xfId="57" applyNumberFormat="1" applyFont="1" applyBorder="1" applyAlignment="1">
      <alignment horizontal="left" vertical="top" wrapText="1" indent="1"/>
      <protection/>
    </xf>
    <xf numFmtId="4" fontId="3" fillId="0" borderId="19" xfId="0" applyNumberFormat="1" applyFont="1" applyBorder="1" applyAlignment="1">
      <alignment/>
    </xf>
    <xf numFmtId="0" fontId="52" fillId="0" borderId="0" xfId="66" applyFont="1" applyAlignment="1">
      <alignment/>
      <protection/>
    </xf>
    <xf numFmtId="0" fontId="52" fillId="0" borderId="0" xfId="66" applyFont="1">
      <alignment/>
      <protection/>
    </xf>
    <xf numFmtId="0" fontId="52" fillId="0" borderId="0" xfId="66" applyFont="1" applyFill="1" applyAlignment="1">
      <alignment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5" xfId="58" applyFont="1" applyBorder="1" applyAlignment="1">
      <alignment horizontal="center" wrapText="1"/>
      <protection/>
    </xf>
    <xf numFmtId="0" fontId="3" fillId="0" borderId="17" xfId="58" applyFont="1" applyBorder="1" applyAlignment="1">
      <alignment horizontal="center" wrapText="1"/>
      <protection/>
    </xf>
    <xf numFmtId="0" fontId="4" fillId="0" borderId="14" xfId="58" applyFont="1" applyBorder="1" applyAlignment="1">
      <alignment horizontal="center" wrapText="1"/>
      <protection/>
    </xf>
    <xf numFmtId="0" fontId="4" fillId="0" borderId="11" xfId="58" applyFont="1" applyBorder="1" applyAlignment="1">
      <alignment horizontal="center" wrapText="1"/>
      <protection/>
    </xf>
    <xf numFmtId="0" fontId="4" fillId="0" borderId="24" xfId="58" applyFont="1" applyBorder="1" applyAlignment="1">
      <alignment horizontal="center" wrapText="1"/>
      <protection/>
    </xf>
    <xf numFmtId="0" fontId="3" fillId="0" borderId="15" xfId="58" applyFont="1" applyFill="1" applyBorder="1" applyAlignment="1">
      <alignment horizontal="left" vertical="center" wrapText="1"/>
      <protection/>
    </xf>
    <xf numFmtId="0" fontId="3" fillId="0" borderId="17" xfId="58" applyFont="1" applyBorder="1" applyAlignment="1">
      <alignment vertical="top" wrapText="1"/>
      <protection/>
    </xf>
    <xf numFmtId="0" fontId="3" fillId="0" borderId="17" xfId="58" applyFont="1" applyBorder="1" applyAlignment="1">
      <alignment vertical="top" wrapText="1"/>
      <protection/>
    </xf>
    <xf numFmtId="0" fontId="3" fillId="0" borderId="17" xfId="58" applyFont="1" applyFill="1" applyBorder="1" applyAlignment="1">
      <alignment horizontal="center" wrapText="1"/>
      <protection/>
    </xf>
    <xf numFmtId="0" fontId="3" fillId="0" borderId="0" xfId="58" applyFont="1" applyFill="1" applyBorder="1" applyAlignment="1">
      <alignment horizontal="center" wrapText="1"/>
      <protection/>
    </xf>
    <xf numFmtId="4" fontId="3" fillId="0" borderId="12" xfId="58" applyNumberFormat="1" applyFont="1" applyFill="1" applyBorder="1" applyAlignment="1">
      <alignment horizontal="center" wrapText="1"/>
      <protection/>
    </xf>
    <xf numFmtId="0" fontId="3" fillId="0" borderId="17" xfId="58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2" fontId="3" fillId="0" borderId="0" xfId="58" applyNumberFormat="1" applyFont="1">
      <alignment/>
      <protection/>
    </xf>
    <xf numFmtId="0" fontId="3" fillId="0" borderId="17" xfId="58" applyFont="1" applyBorder="1">
      <alignment/>
      <protection/>
    </xf>
    <xf numFmtId="0" fontId="3" fillId="0" borderId="0" xfId="58" applyFont="1" applyBorder="1">
      <alignment/>
      <protection/>
    </xf>
    <xf numFmtId="4" fontId="3" fillId="0" borderId="12" xfId="58" applyNumberFormat="1" applyFont="1" applyFill="1" applyBorder="1" applyAlignment="1">
      <alignment horizontal="center" vertical="center"/>
      <protection/>
    </xf>
    <xf numFmtId="0" fontId="3" fillId="0" borderId="17" xfId="58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19" xfId="58" applyFont="1" applyBorder="1" applyAlignment="1">
      <alignment vertical="top" wrapText="1"/>
      <protection/>
    </xf>
    <xf numFmtId="0" fontId="3" fillId="0" borderId="16" xfId="58" applyFont="1" applyBorder="1" applyAlignment="1">
      <alignment vertical="center" wrapText="1"/>
      <protection/>
    </xf>
    <xf numFmtId="0" fontId="30" fillId="0" borderId="16" xfId="58" applyFont="1" applyBorder="1" applyAlignment="1">
      <alignment vertical="center" wrapText="1"/>
      <protection/>
    </xf>
    <xf numFmtId="0" fontId="3" fillId="0" borderId="17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vertical="center" wrapText="1"/>
      <protection/>
    </xf>
    <xf numFmtId="0" fontId="30" fillId="0" borderId="0" xfId="58" applyFont="1" applyBorder="1" applyAlignment="1">
      <alignment vertical="center" wrapText="1"/>
      <protection/>
    </xf>
    <xf numFmtId="0" fontId="3" fillId="0" borderId="13" xfId="58" applyFont="1" applyBorder="1" applyAlignment="1">
      <alignment horizontal="center" vertical="center"/>
      <protection/>
    </xf>
    <xf numFmtId="0" fontId="3" fillId="0" borderId="21" xfId="58" applyFont="1" applyBorder="1" applyAlignment="1">
      <alignment vertical="center" wrapText="1"/>
      <protection/>
    </xf>
    <xf numFmtId="0" fontId="6" fillId="0" borderId="21" xfId="58" applyFont="1" applyBorder="1" applyAlignment="1">
      <alignment vertical="center" wrapText="1"/>
      <protection/>
    </xf>
    <xf numFmtId="10" fontId="3" fillId="0" borderId="10" xfId="58" applyNumberFormat="1" applyFont="1" applyBorder="1" applyAlignment="1">
      <alignment vertical="center" wrapText="1"/>
      <protection/>
    </xf>
    <xf numFmtId="0" fontId="3" fillId="0" borderId="10" xfId="58" applyFont="1" applyBorder="1" applyAlignment="1">
      <alignment vertical="top" wrapText="1"/>
      <protection/>
    </xf>
    <xf numFmtId="9" fontId="3" fillId="0" borderId="24" xfId="58" applyNumberFormat="1" applyFont="1" applyBorder="1" applyAlignment="1">
      <alignment horizontal="center" vertical="center" wrapText="1"/>
      <protection/>
    </xf>
    <xf numFmtId="0" fontId="3" fillId="0" borderId="22" xfId="58" applyFont="1" applyBorder="1" applyAlignment="1">
      <alignment vertical="center" wrapText="1"/>
      <protection/>
    </xf>
    <xf numFmtId="0" fontId="31" fillId="0" borderId="11" xfId="58" applyFont="1" applyBorder="1" applyAlignment="1">
      <alignment vertical="center" wrapText="1"/>
      <protection/>
    </xf>
    <xf numFmtId="0" fontId="30" fillId="0" borderId="11" xfId="58" applyFont="1" applyBorder="1" applyAlignment="1">
      <alignment vertical="center" wrapText="1"/>
      <protection/>
    </xf>
    <xf numFmtId="0" fontId="3" fillId="0" borderId="14" xfId="58" applyFont="1" applyBorder="1" applyAlignment="1">
      <alignment horizontal="left" vertical="top" wrapText="1"/>
      <protection/>
    </xf>
    <xf numFmtId="0" fontId="3" fillId="0" borderId="24" xfId="58" applyFont="1" applyBorder="1" applyAlignment="1">
      <alignment horizontal="left" vertical="top" wrapText="1"/>
      <protection/>
    </xf>
    <xf numFmtId="0" fontId="3" fillId="0" borderId="13" xfId="58" applyFont="1" applyFill="1" applyBorder="1" applyAlignment="1">
      <alignment horizontal="left" vertical="top" wrapText="1"/>
      <protection/>
    </xf>
    <xf numFmtId="0" fontId="4" fillId="0" borderId="14" xfId="58" applyFont="1" applyBorder="1" applyAlignment="1">
      <alignment horizontal="center" vertical="center"/>
      <protection/>
    </xf>
    <xf numFmtId="0" fontId="4" fillId="0" borderId="11" xfId="58" applyFont="1" applyBorder="1" applyAlignment="1">
      <alignment horizontal="center" vertical="center"/>
      <protection/>
    </xf>
    <xf numFmtId="0" fontId="3" fillId="0" borderId="21" xfId="58" applyFont="1" applyBorder="1" applyAlignment="1">
      <alignment horizontal="center" wrapText="1"/>
      <protection/>
    </xf>
    <xf numFmtId="49" fontId="4" fillId="0" borderId="21" xfId="57" applyNumberFormat="1" applyFont="1" applyFill="1" applyBorder="1" applyAlignment="1">
      <alignment horizontal="left" vertical="top" wrapText="1"/>
      <protection/>
    </xf>
    <xf numFmtId="0" fontId="3" fillId="0" borderId="23" xfId="58" applyFont="1" applyBorder="1">
      <alignment/>
      <protection/>
    </xf>
    <xf numFmtId="0" fontId="3" fillId="0" borderId="17" xfId="58" applyFont="1" applyBorder="1" applyAlignment="1">
      <alignment horizontal="left" vertical="top" wrapText="1"/>
      <protection/>
    </xf>
    <xf numFmtId="0" fontId="3" fillId="0" borderId="12" xfId="58" applyFont="1" applyBorder="1" applyAlignment="1">
      <alignment horizontal="center" vertical="center" wrapText="1"/>
      <protection/>
    </xf>
    <xf numFmtId="0" fontId="3" fillId="0" borderId="18" xfId="58" applyFont="1" applyBorder="1">
      <alignment/>
      <protection/>
    </xf>
    <xf numFmtId="0" fontId="4" fillId="0" borderId="18" xfId="58" applyFont="1" applyBorder="1" applyAlignment="1">
      <alignment horizontal="center" vertical="center" wrapText="1"/>
      <protection/>
    </xf>
    <xf numFmtId="0" fontId="3" fillId="0" borderId="12" xfId="58" applyFont="1" applyBorder="1" applyAlignment="1">
      <alignment horizontal="center" vertical="center"/>
      <protection/>
    </xf>
    <xf numFmtId="0" fontId="3" fillId="0" borderId="12" xfId="58" applyFont="1" applyBorder="1" applyAlignment="1">
      <alignment horizontal="center"/>
      <protection/>
    </xf>
    <xf numFmtId="0" fontId="3" fillId="0" borderId="12" xfId="58" applyFont="1" applyFill="1" applyBorder="1" applyAlignment="1">
      <alignment horizontal="left" vertical="center" wrapText="1"/>
      <protection/>
    </xf>
    <xf numFmtId="0" fontId="3" fillId="0" borderId="0" xfId="58" applyFont="1" applyFill="1" applyBorder="1" applyAlignment="1">
      <alignment horizontal="left" vertical="center" wrapText="1"/>
      <protection/>
    </xf>
    <xf numFmtId="0" fontId="3" fillId="0" borderId="10" xfId="58" applyFont="1" applyBorder="1" applyAlignment="1">
      <alignment horizontal="center" vertical="center"/>
      <protection/>
    </xf>
    <xf numFmtId="0" fontId="3" fillId="0" borderId="10" xfId="58" applyFont="1" applyBorder="1">
      <alignment/>
      <protection/>
    </xf>
    <xf numFmtId="2" fontId="3" fillId="0" borderId="10" xfId="57" applyNumberFormat="1" applyFont="1" applyBorder="1" applyAlignment="1">
      <alignment vertical="top"/>
      <protection/>
    </xf>
    <xf numFmtId="190" fontId="3" fillId="0" borderId="14" xfId="57" applyNumberFormat="1" applyFont="1" applyBorder="1" applyAlignment="1">
      <alignment vertical="top"/>
      <protection/>
    </xf>
    <xf numFmtId="190" fontId="3" fillId="0" borderId="11" xfId="57" applyNumberFormat="1" applyFont="1" applyBorder="1" applyAlignment="1">
      <alignment vertical="top"/>
      <protection/>
    </xf>
    <xf numFmtId="0" fontId="3" fillId="0" borderId="14" xfId="58" applyFont="1" applyBorder="1">
      <alignment/>
      <protection/>
    </xf>
    <xf numFmtId="0" fontId="6" fillId="0" borderId="10" xfId="57" applyFont="1" applyBorder="1" applyAlignment="1">
      <alignment horizontal="center" vertical="top" wrapText="1"/>
      <protection/>
    </xf>
    <xf numFmtId="0" fontId="6" fillId="0" borderId="14" xfId="57" applyFont="1" applyBorder="1" applyAlignment="1">
      <alignment horizontal="center" vertical="top" wrapText="1"/>
      <protection/>
    </xf>
    <xf numFmtId="0" fontId="6" fillId="0" borderId="24" xfId="57" applyFont="1" applyBorder="1" applyAlignment="1">
      <alignment horizontal="center" vertical="top" wrapText="1"/>
      <protection/>
    </xf>
    <xf numFmtId="0" fontId="6" fillId="0" borderId="11" xfId="57" applyFont="1" applyBorder="1" applyAlignment="1">
      <alignment horizontal="center" vertical="top" wrapText="1"/>
      <protection/>
    </xf>
    <xf numFmtId="1" fontId="6" fillId="0" borderId="10" xfId="57" applyNumberFormat="1" applyFont="1" applyBorder="1" applyAlignment="1">
      <alignment horizontal="center" vertical="top" wrapText="1"/>
      <protection/>
    </xf>
    <xf numFmtId="0" fontId="6" fillId="0" borderId="0" xfId="57" applyFont="1">
      <alignment/>
      <protection/>
    </xf>
    <xf numFmtId="0" fontId="6" fillId="0" borderId="21" xfId="57" applyFont="1" applyBorder="1" applyAlignment="1">
      <alignment horizontal="center"/>
      <protection/>
    </xf>
    <xf numFmtId="175" fontId="3" fillId="0" borderId="22" xfId="57" applyNumberFormat="1" applyFont="1" applyBorder="1" applyAlignment="1">
      <alignment horizontal="right" wrapText="1"/>
      <protection/>
    </xf>
    <xf numFmtId="2" fontId="3" fillId="0" borderId="16" xfId="57" applyNumberFormat="1" applyFont="1" applyBorder="1" applyAlignment="1">
      <alignment wrapText="1"/>
      <protection/>
    </xf>
    <xf numFmtId="2" fontId="3" fillId="0" borderId="0" xfId="57" applyNumberFormat="1" applyFont="1" applyBorder="1" applyAlignment="1">
      <alignment horizontal="center" wrapText="1"/>
      <protection/>
    </xf>
    <xf numFmtId="0" fontId="3" fillId="0" borderId="23" xfId="66" applyFont="1" applyBorder="1">
      <alignment/>
      <protection/>
    </xf>
    <xf numFmtId="0" fontId="3" fillId="0" borderId="17" xfId="66" applyFont="1" applyBorder="1" applyAlignment="1">
      <alignment horizontal="left" vertical="top" wrapText="1"/>
      <protection/>
    </xf>
    <xf numFmtId="0" fontId="3" fillId="0" borderId="12" xfId="66" applyFont="1" applyBorder="1" applyAlignment="1">
      <alignment horizontal="center" vertical="center" wrapText="1"/>
      <protection/>
    </xf>
    <xf numFmtId="0" fontId="3" fillId="0" borderId="18" xfId="66" applyFont="1" applyBorder="1">
      <alignment/>
      <protection/>
    </xf>
    <xf numFmtId="0" fontId="3" fillId="0" borderId="12" xfId="66" applyFont="1" applyFill="1" applyBorder="1" applyAlignment="1">
      <alignment horizontal="center" vertical="center" wrapText="1"/>
      <protection/>
    </xf>
    <xf numFmtId="0" fontId="3" fillId="0" borderId="19" xfId="66" applyFont="1" applyBorder="1" applyAlignment="1">
      <alignment horizontal="center" vertical="center" wrapText="1"/>
      <protection/>
    </xf>
    <xf numFmtId="0" fontId="4" fillId="0" borderId="18" xfId="66" applyFont="1" applyBorder="1" applyAlignment="1">
      <alignment horizontal="center" vertical="center" wrapText="1"/>
      <protection/>
    </xf>
    <xf numFmtId="0" fontId="4" fillId="0" borderId="15" xfId="66" applyFont="1" applyFill="1" applyBorder="1" applyAlignment="1">
      <alignment horizontal="center" vertical="center" wrapText="1"/>
      <protection/>
    </xf>
    <xf numFmtId="0" fontId="4" fillId="0" borderId="22" xfId="66" applyFont="1" applyFill="1" applyBorder="1" applyAlignment="1">
      <alignment horizontal="center" vertical="center" wrapText="1"/>
      <protection/>
    </xf>
    <xf numFmtId="0" fontId="3" fillId="0" borderId="15" xfId="66" applyFont="1" applyFill="1" applyBorder="1" applyAlignment="1">
      <alignment horizontal="center" vertical="center" wrapText="1"/>
      <protection/>
    </xf>
    <xf numFmtId="0" fontId="3" fillId="0" borderId="22" xfId="66" applyFont="1" applyFill="1" applyBorder="1" applyAlignment="1">
      <alignment horizontal="center" vertical="center" wrapText="1"/>
      <protection/>
    </xf>
    <xf numFmtId="0" fontId="3" fillId="0" borderId="16" xfId="66" applyFont="1" applyFill="1" applyBorder="1" applyAlignment="1">
      <alignment horizontal="center" vertical="center" wrapText="1"/>
      <protection/>
    </xf>
    <xf numFmtId="0" fontId="3" fillId="0" borderId="23" xfId="66" applyFont="1" applyFill="1" applyBorder="1" applyAlignment="1">
      <alignment horizontal="center" vertical="center" wrapText="1"/>
      <protection/>
    </xf>
    <xf numFmtId="0" fontId="3" fillId="0" borderId="12" xfId="66" applyFont="1" applyFill="1" applyBorder="1" applyAlignment="1">
      <alignment horizontal="left" vertical="center" wrapText="1"/>
      <protection/>
    </xf>
    <xf numFmtId="0" fontId="3" fillId="0" borderId="12" xfId="66" applyFont="1" applyFill="1" applyBorder="1" applyAlignment="1">
      <alignment horizontal="right" vertical="center" wrapText="1"/>
      <protection/>
    </xf>
    <xf numFmtId="0" fontId="3" fillId="0" borderId="17" xfId="66" applyFont="1" applyFill="1" applyBorder="1" applyAlignment="1">
      <alignment horizontal="center" vertical="center" wrapText="1"/>
      <protection/>
    </xf>
    <xf numFmtId="0" fontId="3" fillId="0" borderId="0" xfId="66" applyFont="1" applyFill="1" applyBorder="1" applyAlignment="1">
      <alignment horizontal="center" vertical="center" wrapText="1"/>
      <protection/>
    </xf>
    <xf numFmtId="0" fontId="3" fillId="0" borderId="18" xfId="66" applyFont="1" applyFill="1" applyBorder="1" applyAlignment="1">
      <alignment horizontal="center" vertical="center" wrapText="1"/>
      <protection/>
    </xf>
    <xf numFmtId="178" fontId="3" fillId="0" borderId="17" xfId="66" applyNumberFormat="1" applyFont="1" applyFill="1" applyBorder="1" applyAlignment="1">
      <alignment horizontal="right" vertical="center" wrapText="1"/>
      <protection/>
    </xf>
    <xf numFmtId="1" fontId="3" fillId="0" borderId="17" xfId="66" applyNumberFormat="1" applyFont="1" applyFill="1" applyBorder="1" applyAlignment="1">
      <alignment horizontal="right" vertical="center" wrapText="1"/>
      <protection/>
    </xf>
    <xf numFmtId="175" fontId="3" fillId="0" borderId="17" xfId="66" applyNumberFormat="1" applyFont="1" applyFill="1" applyBorder="1" applyAlignment="1">
      <alignment horizontal="right" vertical="center" wrapText="1"/>
      <protection/>
    </xf>
    <xf numFmtId="172" fontId="3" fillId="0" borderId="17" xfId="66" applyNumberFormat="1" applyFont="1" applyFill="1" applyBorder="1" applyAlignment="1">
      <alignment horizontal="right" vertical="center" wrapText="1"/>
      <protection/>
    </xf>
    <xf numFmtId="0" fontId="52" fillId="0" borderId="12" xfId="66" applyFont="1" applyFill="1" applyBorder="1">
      <alignment/>
      <protection/>
    </xf>
    <xf numFmtId="2" fontId="3" fillId="0" borderId="17" xfId="66" applyNumberFormat="1" applyFont="1" applyFill="1" applyBorder="1" applyAlignment="1">
      <alignment horizontal="right" vertical="center"/>
      <protection/>
    </xf>
    <xf numFmtId="0" fontId="3" fillId="0" borderId="12" xfId="66" applyFont="1" applyFill="1" applyBorder="1" applyAlignment="1">
      <alignment horizontal="left" vertical="center"/>
      <protection/>
    </xf>
    <xf numFmtId="0" fontId="3" fillId="0" borderId="12" xfId="66" applyFont="1" applyFill="1" applyBorder="1" applyAlignment="1">
      <alignment horizontal="left" vertical="center" indent="1"/>
      <protection/>
    </xf>
    <xf numFmtId="187" fontId="3" fillId="0" borderId="17" xfId="66" applyNumberFormat="1" applyFont="1" applyFill="1" applyBorder="1" applyAlignment="1">
      <alignment horizontal="right" vertical="center"/>
      <protection/>
    </xf>
    <xf numFmtId="0" fontId="4" fillId="0" borderId="19" xfId="66" applyFont="1" applyFill="1" applyBorder="1" applyAlignment="1">
      <alignment horizontal="left" vertical="center" indent="1"/>
      <protection/>
    </xf>
    <xf numFmtId="2" fontId="4" fillId="0" borderId="13" xfId="66" applyNumberFormat="1" applyFont="1" applyFill="1" applyBorder="1" applyAlignment="1">
      <alignment horizontal="center" vertical="center"/>
      <protection/>
    </xf>
    <xf numFmtId="0" fontId="3" fillId="0" borderId="13" xfId="66" applyFont="1" applyFill="1" applyBorder="1" applyAlignment="1">
      <alignment horizontal="center" vertical="center" wrapText="1"/>
      <protection/>
    </xf>
    <xf numFmtId="0" fontId="3" fillId="0" borderId="21" xfId="66" applyFont="1" applyFill="1" applyBorder="1" applyAlignment="1">
      <alignment horizontal="center" vertical="center" wrapText="1"/>
      <protection/>
    </xf>
    <xf numFmtId="0" fontId="3" fillId="0" borderId="20" xfId="66" applyFont="1" applyFill="1" applyBorder="1" applyAlignment="1">
      <alignment horizontal="center" vertical="center" wrapText="1"/>
      <protection/>
    </xf>
    <xf numFmtId="0" fontId="4" fillId="0" borderId="15" xfId="66" applyFont="1" applyBorder="1" applyAlignment="1">
      <alignment horizontal="center" vertical="center" wrapText="1"/>
      <protection/>
    </xf>
    <xf numFmtId="2" fontId="4" fillId="0" borderId="16" xfId="66" applyNumberFormat="1" applyFont="1" applyBorder="1" applyAlignment="1">
      <alignment horizontal="center" vertical="center"/>
      <protection/>
    </xf>
    <xf numFmtId="0" fontId="3" fillId="0" borderId="15" xfId="66" applyFont="1" applyBorder="1" applyAlignment="1">
      <alignment horizontal="center" vertical="center" wrapText="1"/>
      <protection/>
    </xf>
    <xf numFmtId="0" fontId="3" fillId="0" borderId="22" xfId="66" applyFont="1" applyBorder="1" applyAlignment="1">
      <alignment horizontal="center" vertical="center" wrapText="1"/>
      <protection/>
    </xf>
    <xf numFmtId="0" fontId="3" fillId="0" borderId="16" xfId="66" applyFont="1" applyBorder="1" applyAlignment="1">
      <alignment horizontal="center" vertical="center" wrapText="1"/>
      <protection/>
    </xf>
    <xf numFmtId="0" fontId="3" fillId="0" borderId="23" xfId="66" applyFont="1" applyBorder="1" applyAlignment="1">
      <alignment horizontal="center" vertical="center" wrapText="1"/>
      <protection/>
    </xf>
    <xf numFmtId="0" fontId="6" fillId="0" borderId="18" xfId="66" applyFont="1" applyBorder="1" applyAlignment="1">
      <alignment horizontal="center" vertical="center" wrapText="1"/>
      <protection/>
    </xf>
    <xf numFmtId="2" fontId="4" fillId="0" borderId="0" xfId="66" applyNumberFormat="1" applyFont="1" applyBorder="1" applyAlignment="1">
      <alignment horizontal="center" vertical="center"/>
      <protection/>
    </xf>
    <xf numFmtId="0" fontId="3" fillId="0" borderId="17" xfId="66" applyFont="1" applyBorder="1" applyAlignment="1">
      <alignment horizontal="center" vertical="center" wrapText="1"/>
      <protection/>
    </xf>
    <xf numFmtId="0" fontId="3" fillId="0" borderId="0" xfId="66" applyFont="1" applyBorder="1" applyAlignment="1">
      <alignment horizontal="center" vertical="center" wrapText="1"/>
      <protection/>
    </xf>
    <xf numFmtId="0" fontId="3" fillId="0" borderId="18" xfId="66" applyFont="1" applyBorder="1" applyAlignment="1">
      <alignment horizontal="center" vertical="center" wrapText="1"/>
      <protection/>
    </xf>
    <xf numFmtId="0" fontId="3" fillId="0" borderId="18" xfId="66" applyFont="1" applyBorder="1" applyAlignment="1">
      <alignment horizontal="left" vertical="top" wrapText="1"/>
      <protection/>
    </xf>
    <xf numFmtId="1" fontId="3" fillId="0" borderId="0" xfId="66" applyNumberFormat="1" applyFont="1" applyBorder="1" applyAlignment="1">
      <alignment horizontal="right"/>
      <protection/>
    </xf>
    <xf numFmtId="0" fontId="3" fillId="0" borderId="12" xfId="66" applyFont="1" applyBorder="1" applyAlignment="1">
      <alignment horizontal="center" vertical="top" wrapText="1"/>
      <protection/>
    </xf>
    <xf numFmtId="0" fontId="3" fillId="0" borderId="18" xfId="66" applyFont="1" applyBorder="1" applyAlignment="1">
      <alignment horizontal="left" vertical="center" wrapText="1"/>
      <protection/>
    </xf>
    <xf numFmtId="177" fontId="3" fillId="0" borderId="0" xfId="66" applyNumberFormat="1" applyFont="1" applyFill="1" applyBorder="1" applyAlignment="1">
      <alignment horizontal="right" vertical="center" wrapText="1"/>
      <protection/>
    </xf>
    <xf numFmtId="0" fontId="3" fillId="0" borderId="12" xfId="66" applyFont="1" applyBorder="1" applyAlignment="1">
      <alignment horizontal="center"/>
      <protection/>
    </xf>
    <xf numFmtId="0" fontId="52" fillId="0" borderId="51" xfId="66" applyFont="1" applyBorder="1">
      <alignment/>
      <protection/>
    </xf>
    <xf numFmtId="2" fontId="3" fillId="0" borderId="0" xfId="66" applyNumberFormat="1" applyFont="1" applyFill="1" applyBorder="1" applyAlignment="1">
      <alignment horizontal="right" vertical="center" wrapText="1"/>
      <protection/>
    </xf>
    <xf numFmtId="0" fontId="3" fillId="0" borderId="18" xfId="66" applyFont="1" applyFill="1" applyBorder="1" applyAlignment="1">
      <alignment vertical="center"/>
      <protection/>
    </xf>
    <xf numFmtId="175" fontId="3" fillId="0" borderId="0" xfId="66" applyNumberFormat="1" applyFont="1" applyFill="1" applyBorder="1" applyAlignment="1">
      <alignment horizontal="right" vertical="center" wrapText="1"/>
      <protection/>
    </xf>
    <xf numFmtId="0" fontId="3" fillId="0" borderId="18" xfId="66" applyFont="1" applyFill="1" applyBorder="1" applyAlignment="1">
      <alignment horizontal="left" vertical="center" wrapText="1"/>
      <protection/>
    </xf>
    <xf numFmtId="1" fontId="3" fillId="0" borderId="0" xfId="66" applyNumberFormat="1" applyFont="1" applyFill="1" applyBorder="1" applyAlignment="1">
      <alignment horizontal="right" vertical="center" wrapText="1"/>
      <protection/>
    </xf>
    <xf numFmtId="175" fontId="3" fillId="0" borderId="0" xfId="66" applyNumberFormat="1" applyFont="1" applyBorder="1" applyAlignment="1">
      <alignment horizontal="right" vertical="center" wrapText="1"/>
      <protection/>
    </xf>
    <xf numFmtId="0" fontId="3" fillId="0" borderId="18" xfId="66" applyFont="1" applyBorder="1" applyAlignment="1">
      <alignment vertical="center"/>
      <protection/>
    </xf>
    <xf numFmtId="2" fontId="3" fillId="0" borderId="0" xfId="66" applyNumberFormat="1" applyFont="1" applyBorder="1" applyAlignment="1">
      <alignment horizontal="right" vertical="center"/>
      <protection/>
    </xf>
    <xf numFmtId="0" fontId="3" fillId="0" borderId="12" xfId="66" applyFont="1" applyBorder="1" applyAlignment="1">
      <alignment horizontal="center" vertical="center"/>
      <protection/>
    </xf>
    <xf numFmtId="0" fontId="3" fillId="0" borderId="18" xfId="66" applyFont="1" applyBorder="1" applyAlignment="1">
      <alignment horizontal="left" vertical="center" indent="1"/>
      <protection/>
    </xf>
    <xf numFmtId="187" fontId="3" fillId="0" borderId="0" xfId="66" applyNumberFormat="1" applyFont="1" applyBorder="1" applyAlignment="1">
      <alignment horizontal="right" vertical="center"/>
      <protection/>
    </xf>
    <xf numFmtId="2" fontId="4" fillId="0" borderId="0" xfId="66" applyNumberFormat="1" applyFont="1" applyBorder="1" applyAlignment="1">
      <alignment horizontal="right" vertical="center"/>
      <protection/>
    </xf>
    <xf numFmtId="1" fontId="3" fillId="0" borderId="12" xfId="66" applyNumberFormat="1" applyFont="1" applyBorder="1" applyAlignment="1">
      <alignment horizontal="right"/>
      <protection/>
    </xf>
    <xf numFmtId="0" fontId="3" fillId="0" borderId="12" xfId="66" applyFont="1" applyBorder="1" applyAlignment="1">
      <alignment horizontal="left" vertical="top" wrapText="1"/>
      <protection/>
    </xf>
    <xf numFmtId="2" fontId="3" fillId="0" borderId="0" xfId="66" applyNumberFormat="1" applyFont="1" applyBorder="1" applyAlignment="1">
      <alignment horizontal="right" vertical="center" wrapText="1"/>
      <protection/>
    </xf>
    <xf numFmtId="175" fontId="3" fillId="0" borderId="12" xfId="66" applyNumberFormat="1" applyFont="1" applyBorder="1" applyAlignment="1">
      <alignment horizontal="right"/>
      <protection/>
    </xf>
    <xf numFmtId="0" fontId="52" fillId="0" borderId="12" xfId="66" applyFont="1" applyBorder="1">
      <alignment/>
      <protection/>
    </xf>
    <xf numFmtId="0" fontId="4" fillId="0" borderId="21" xfId="66" applyFont="1" applyBorder="1" applyAlignment="1">
      <alignment horizontal="left" vertical="center" indent="1"/>
      <protection/>
    </xf>
    <xf numFmtId="2" fontId="4" fillId="0" borderId="13" xfId="66" applyNumberFormat="1" applyFont="1" applyBorder="1" applyAlignment="1">
      <alignment horizontal="right" vertical="center"/>
      <protection/>
    </xf>
    <xf numFmtId="0" fontId="3" fillId="0" borderId="13" xfId="66" applyFont="1" applyBorder="1" applyAlignment="1">
      <alignment horizontal="center" vertical="center" wrapText="1"/>
      <protection/>
    </xf>
    <xf numFmtId="0" fontId="3" fillId="0" borderId="21" xfId="66" applyFont="1" applyBorder="1" applyAlignment="1">
      <alignment horizontal="center" vertical="center" wrapText="1"/>
      <protection/>
    </xf>
    <xf numFmtId="0" fontId="3" fillId="0" borderId="20" xfId="66" applyFont="1" applyBorder="1" applyAlignment="1">
      <alignment horizontal="center" vertical="center" wrapText="1"/>
      <protection/>
    </xf>
    <xf numFmtId="177" fontId="3" fillId="0" borderId="15" xfId="66" applyNumberFormat="1" applyFont="1" applyBorder="1" applyAlignment="1">
      <alignment horizontal="center"/>
      <protection/>
    </xf>
    <xf numFmtId="0" fontId="3" fillId="0" borderId="16" xfId="66" applyFont="1" applyBorder="1" applyAlignment="1">
      <alignment horizontal="center"/>
      <protection/>
    </xf>
    <xf numFmtId="0" fontId="3" fillId="0" borderId="12" xfId="66" applyFont="1" applyBorder="1">
      <alignment/>
      <protection/>
    </xf>
    <xf numFmtId="0" fontId="3" fillId="33" borderId="18" xfId="66" applyFont="1" applyFill="1" applyBorder="1">
      <alignment/>
      <protection/>
    </xf>
    <xf numFmtId="0" fontId="3" fillId="0" borderId="0" xfId="66" applyFont="1" applyBorder="1" applyAlignment="1">
      <alignment horizontal="center" vertical="top" wrapText="1"/>
      <protection/>
    </xf>
    <xf numFmtId="0" fontId="3" fillId="0" borderId="0" xfId="66" applyFont="1" applyBorder="1" applyAlignment="1">
      <alignment horizontal="center"/>
      <protection/>
    </xf>
    <xf numFmtId="2" fontId="3" fillId="0" borderId="18" xfId="66" applyNumberFormat="1" applyFont="1" applyBorder="1" applyAlignment="1">
      <alignment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12" xfId="66" applyFont="1" applyBorder="1" applyAlignment="1">
      <alignment horizontal="left" vertical="center" indent="1"/>
      <protection/>
    </xf>
    <xf numFmtId="0" fontId="3" fillId="0" borderId="0" xfId="66" applyFont="1" applyBorder="1" applyAlignment="1">
      <alignment horizontal="center" vertical="center" wrapText="1"/>
      <protection/>
    </xf>
    <xf numFmtId="187" fontId="3" fillId="0" borderId="18" xfId="66" applyNumberFormat="1" applyFont="1" applyBorder="1" applyAlignment="1">
      <alignment vertical="center"/>
      <protection/>
    </xf>
    <xf numFmtId="2" fontId="4" fillId="0" borderId="13" xfId="66" applyNumberFormat="1" applyFont="1" applyBorder="1" applyAlignment="1">
      <alignment horizontal="center" vertical="center"/>
      <protection/>
    </xf>
    <xf numFmtId="0" fontId="3" fillId="0" borderId="10" xfId="66" applyFont="1" applyBorder="1" applyAlignment="1">
      <alignment horizontal="left" vertical="center" wrapText="1"/>
      <protection/>
    </xf>
    <xf numFmtId="0" fontId="3" fillId="0" borderId="0" xfId="57" applyFont="1" applyAlignment="1">
      <alignment wrapText="1"/>
      <protection/>
    </xf>
    <xf numFmtId="0" fontId="3" fillId="0" borderId="21" xfId="57" applyFont="1" applyBorder="1" applyAlignment="1">
      <alignment wrapText="1"/>
      <protection/>
    </xf>
    <xf numFmtId="0" fontId="3" fillId="0" borderId="11" xfId="57" applyFont="1" applyBorder="1" applyAlignment="1">
      <alignment vertical="top" wrapText="1"/>
      <protection/>
    </xf>
    <xf numFmtId="2" fontId="4" fillId="0" borderId="15" xfId="57" applyNumberFormat="1" applyFont="1" applyBorder="1" applyAlignment="1">
      <alignment horizontal="center" vertical="center"/>
      <protection/>
    </xf>
    <xf numFmtId="0" fontId="3" fillId="0" borderId="22" xfId="57" applyFont="1" applyBorder="1" applyAlignment="1">
      <alignment horizontal="center" vertical="center" wrapText="1"/>
      <protection/>
    </xf>
    <xf numFmtId="0" fontId="3" fillId="0" borderId="0" xfId="57" applyFont="1" applyAlignment="1">
      <alignment vertical="top" wrapText="1"/>
      <protection/>
    </xf>
    <xf numFmtId="4" fontId="3" fillId="0" borderId="13" xfId="57" applyNumberFormat="1" applyFont="1" applyBorder="1" applyAlignment="1">
      <alignment horizontal="right" vertical="center" wrapText="1"/>
      <protection/>
    </xf>
    <xf numFmtId="4" fontId="3" fillId="0" borderId="21" xfId="57" applyNumberFormat="1" applyFont="1" applyBorder="1" applyAlignment="1">
      <alignment horizontal="right" vertical="center" wrapText="1"/>
      <protection/>
    </xf>
    <xf numFmtId="0" fontId="7" fillId="34" borderId="39" xfId="54" applyFont="1" applyFill="1" applyBorder="1" applyAlignment="1">
      <alignment horizontal="left" vertical="center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Defaul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0 4" xfId="55"/>
    <cellStyle name="Обычный 14 2" xfId="56"/>
    <cellStyle name="Обычный 2" xfId="57"/>
    <cellStyle name="Обычный 2 2" xfId="58"/>
    <cellStyle name="Обычный 2 3" xfId="59"/>
    <cellStyle name="Обычный 2 7" xfId="60"/>
    <cellStyle name="Обычный 3" xfId="61"/>
    <cellStyle name="Обычный 4" xfId="62"/>
    <cellStyle name="Обычный 4 2" xfId="63"/>
    <cellStyle name="Обычный 5" xfId="64"/>
    <cellStyle name="Обычный 6" xfId="65"/>
    <cellStyle name="Обычный 65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[0] 2" xfId="76"/>
    <cellStyle name="Финансовый 2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67"/>
  <sheetViews>
    <sheetView view="pageBreakPreview" zoomScaleSheetLayoutView="100" zoomScalePageLayoutView="0" workbookViewId="0" topLeftCell="A1">
      <selection activeCell="B9" sqref="B9"/>
    </sheetView>
  </sheetViews>
  <sheetFormatPr defaultColWidth="14.125" defaultRowHeight="12.75"/>
  <cols>
    <col min="1" max="1" width="5.25390625" style="3" customWidth="1"/>
    <col min="2" max="2" width="32.875" style="3" customWidth="1"/>
    <col min="3" max="3" width="13.125" style="3" customWidth="1"/>
    <col min="4" max="4" width="14.125" style="3" customWidth="1"/>
    <col min="5" max="5" width="12.875" style="3" customWidth="1"/>
    <col min="6" max="6" width="27.25390625" style="3" customWidth="1"/>
    <col min="7" max="8" width="17.75390625" style="3" customWidth="1"/>
    <col min="9" max="9" width="16.875" style="3" customWidth="1"/>
    <col min="10" max="10" width="13.25390625" style="3" customWidth="1"/>
    <col min="11" max="11" width="14.25390625" style="3" customWidth="1"/>
    <col min="12" max="12" width="14.375" style="3" customWidth="1"/>
    <col min="13" max="13" width="9.125" style="3" customWidth="1"/>
    <col min="14" max="14" width="3.375" style="3" customWidth="1"/>
    <col min="15" max="16" width="9.75390625" style="3" customWidth="1"/>
    <col min="17" max="17" width="6.75390625" style="3" customWidth="1"/>
    <col min="18" max="252" width="9.125" style="3" customWidth="1"/>
    <col min="253" max="253" width="5.25390625" style="3" customWidth="1"/>
    <col min="254" max="254" width="33.875" style="3" customWidth="1"/>
    <col min="255" max="255" width="10.25390625" style="3" customWidth="1"/>
    <col min="256" max="16384" width="14.125" style="3" customWidth="1"/>
  </cols>
  <sheetData>
    <row r="1" spans="5:6" ht="17.25" customHeight="1">
      <c r="E1" s="407" t="s">
        <v>317</v>
      </c>
      <c r="F1" s="407"/>
    </row>
    <row r="2" spans="5:6" ht="13.5" customHeight="1">
      <c r="E2" s="414" t="s">
        <v>318</v>
      </c>
      <c r="F2" s="414"/>
    </row>
    <row r="3" spans="5:6" ht="15" customHeight="1">
      <c r="E3" s="414" t="s">
        <v>319</v>
      </c>
      <c r="F3" s="414"/>
    </row>
    <row r="4" spans="5:6" ht="21.75" customHeight="1">
      <c r="E4" s="414" t="s">
        <v>320</v>
      </c>
      <c r="F4" s="414"/>
    </row>
    <row r="5" spans="5:6" ht="19.5" customHeight="1">
      <c r="E5" s="414" t="s">
        <v>321</v>
      </c>
      <c r="F5" s="414"/>
    </row>
    <row r="6" spans="5:6" ht="12.75">
      <c r="E6" s="414"/>
      <c r="F6" s="414"/>
    </row>
    <row r="7" spans="5:6" ht="12.75">
      <c r="E7" s="414"/>
      <c r="F7" s="414"/>
    </row>
    <row r="8" spans="1:6" ht="12.75">
      <c r="A8" s="411" t="s">
        <v>5</v>
      </c>
      <c r="B8" s="411"/>
      <c r="C8" s="411"/>
      <c r="D8" s="411"/>
      <c r="E8" s="411"/>
      <c r="F8" s="411"/>
    </row>
    <row r="9" spans="1:6" ht="12.75">
      <c r="A9" s="389"/>
      <c r="B9" s="389"/>
      <c r="C9" s="389"/>
      <c r="D9" s="389"/>
      <c r="E9" s="389"/>
      <c r="F9" s="389"/>
    </row>
    <row r="10" spans="1:10" ht="18" customHeight="1">
      <c r="A10" s="412" t="s">
        <v>324</v>
      </c>
      <c r="B10" s="412"/>
      <c r="C10" s="412"/>
      <c r="D10" s="412"/>
      <c r="E10" s="412"/>
      <c r="F10" s="412"/>
      <c r="G10" s="17"/>
      <c r="H10" s="16"/>
      <c r="I10" s="17"/>
      <c r="J10" s="16"/>
    </row>
    <row r="11" spans="1:10" ht="13.5" customHeight="1">
      <c r="A11" s="413" t="s">
        <v>322</v>
      </c>
      <c r="B11" s="413"/>
      <c r="C11" s="413"/>
      <c r="D11" s="413"/>
      <c r="E11" s="413"/>
      <c r="F11" s="413"/>
      <c r="G11" s="17"/>
      <c r="H11" s="16"/>
      <c r="I11" s="17"/>
      <c r="J11" s="16"/>
    </row>
    <row r="12" spans="1:10" ht="13.5" customHeight="1">
      <c r="A12" s="413" t="s">
        <v>323</v>
      </c>
      <c r="B12" s="413"/>
      <c r="C12" s="413"/>
      <c r="D12" s="413"/>
      <c r="E12" s="413"/>
      <c r="F12" s="413"/>
      <c r="G12" s="17"/>
      <c r="H12" s="16"/>
      <c r="I12" s="17"/>
      <c r="J12" s="16"/>
    </row>
    <row r="13" spans="1:10" ht="13.5" customHeight="1">
      <c r="A13" s="392"/>
      <c r="B13" s="392"/>
      <c r="C13" s="392"/>
      <c r="D13" s="392"/>
      <c r="E13" s="392"/>
      <c r="F13" s="392"/>
      <c r="G13" s="17"/>
      <c r="H13" s="16"/>
      <c r="I13" s="17"/>
      <c r="J13" s="16"/>
    </row>
    <row r="14" spans="1:18" ht="12.75" customHeight="1">
      <c r="A14" s="409" t="s">
        <v>6</v>
      </c>
      <c r="B14" s="410" t="s">
        <v>7</v>
      </c>
      <c r="C14" s="409" t="s">
        <v>8</v>
      </c>
      <c r="D14" s="408" t="s">
        <v>18</v>
      </c>
      <c r="E14" s="408" t="s">
        <v>265</v>
      </c>
      <c r="F14" s="408" t="s">
        <v>266</v>
      </c>
      <c r="I14" s="18"/>
      <c r="J14" s="19"/>
      <c r="K14" s="12"/>
      <c r="L14" s="16"/>
      <c r="M14" s="9"/>
      <c r="N14" s="4"/>
      <c r="O14" s="5"/>
      <c r="P14" s="6"/>
      <c r="Q14" s="7"/>
      <c r="R14" s="6"/>
    </row>
    <row r="15" spans="1:18" ht="38.25" customHeight="1">
      <c r="A15" s="409"/>
      <c r="B15" s="410"/>
      <c r="C15" s="409"/>
      <c r="D15" s="408"/>
      <c r="E15" s="408"/>
      <c r="F15" s="408"/>
      <c r="I15" s="18"/>
      <c r="J15" s="19"/>
      <c r="K15" s="12"/>
      <c r="L15" s="16"/>
      <c r="M15" s="9"/>
      <c r="N15" s="4"/>
      <c r="O15" s="5"/>
      <c r="P15" s="10"/>
      <c r="Q15" s="7"/>
      <c r="R15" s="6"/>
    </row>
    <row r="16" spans="1:18" ht="30" customHeight="1">
      <c r="A16" s="312">
        <v>1</v>
      </c>
      <c r="B16" s="313" t="s">
        <v>19</v>
      </c>
      <c r="C16" s="314" t="s">
        <v>9</v>
      </c>
      <c r="D16" s="315">
        <f>'См№1 ПР'!V23</f>
        <v>4840884.52</v>
      </c>
      <c r="E16" s="315">
        <f>'См№1 ПР'!V24</f>
        <v>871359.21</v>
      </c>
      <c r="F16" s="316">
        <f>'См№1 ПР'!V25</f>
        <v>5712243.73</v>
      </c>
      <c r="H16" s="570"/>
      <c r="I16" s="571"/>
      <c r="J16" s="19"/>
      <c r="K16" s="12"/>
      <c r="L16" s="16"/>
      <c r="M16" s="9"/>
      <c r="N16" s="4"/>
      <c r="O16" s="5"/>
      <c r="P16" s="10"/>
      <c r="Q16" s="7"/>
      <c r="R16" s="6"/>
    </row>
    <row r="17" spans="1:18" ht="33" customHeight="1">
      <c r="A17" s="312">
        <v>2</v>
      </c>
      <c r="B17" s="313" t="s">
        <v>267</v>
      </c>
      <c r="C17" s="314" t="s">
        <v>10</v>
      </c>
      <c r="D17" s="315">
        <f>'См№2 Геодез'!N37</f>
        <v>116035.1</v>
      </c>
      <c r="E17" s="315">
        <f>'См№2 Геодез'!N38</f>
        <v>20886.32</v>
      </c>
      <c r="F17" s="316">
        <f>'См№2 Геодез'!N40</f>
        <v>136921.42</v>
      </c>
      <c r="G17" s="20"/>
      <c r="H17" s="570"/>
      <c r="I17" s="570"/>
      <c r="J17" s="570"/>
      <c r="K17" s="12"/>
      <c r="L17" s="16"/>
      <c r="M17" s="11"/>
      <c r="N17" s="4"/>
      <c r="O17" s="5"/>
      <c r="P17" s="6"/>
      <c r="Q17" s="7"/>
      <c r="R17" s="6"/>
    </row>
    <row r="18" spans="1:18" ht="18.75" customHeight="1">
      <c r="A18" s="312">
        <v>3</v>
      </c>
      <c r="B18" s="313" t="s">
        <v>129</v>
      </c>
      <c r="C18" s="314" t="s">
        <v>24</v>
      </c>
      <c r="D18" s="315">
        <f>'См№3 Геолог'!N52</f>
        <v>466908.02</v>
      </c>
      <c r="E18" s="315">
        <f>'См№3 Геолог'!N53</f>
        <v>84043.44</v>
      </c>
      <c r="F18" s="316">
        <f>'См№3 Геолог'!N54</f>
        <v>550951.46</v>
      </c>
      <c r="G18" s="20"/>
      <c r="H18" s="570"/>
      <c r="I18" s="570"/>
      <c r="J18" s="570"/>
      <c r="K18" s="12"/>
      <c r="L18" s="16"/>
      <c r="M18" s="11"/>
      <c r="N18" s="4"/>
      <c r="O18" s="5"/>
      <c r="P18" s="6"/>
      <c r="Q18" s="7"/>
      <c r="R18" s="6"/>
    </row>
    <row r="19" spans="1:18" ht="28.5" customHeight="1">
      <c r="A19" s="312">
        <v>4</v>
      </c>
      <c r="B19" s="313" t="s">
        <v>57</v>
      </c>
      <c r="C19" s="314" t="s">
        <v>27</v>
      </c>
      <c r="D19" s="315">
        <f>'См№4 Экология'!M61</f>
        <v>229172.32</v>
      </c>
      <c r="E19" s="315">
        <f>'См№4 Экология'!M62</f>
        <v>41251.02</v>
      </c>
      <c r="F19" s="316">
        <f>'См№4 Экология'!M63</f>
        <v>270423.34</v>
      </c>
      <c r="G19" s="20"/>
      <c r="H19" s="570"/>
      <c r="I19" s="570"/>
      <c r="J19" s="570"/>
      <c r="K19" s="12"/>
      <c r="L19" s="16"/>
      <c r="M19" s="11"/>
      <c r="N19" s="4"/>
      <c r="O19" s="5"/>
      <c r="P19" s="6"/>
      <c r="Q19" s="7"/>
      <c r="R19" s="6"/>
    </row>
    <row r="20" spans="1:18" ht="18.75" customHeight="1">
      <c r="A20" s="312">
        <v>5</v>
      </c>
      <c r="B20" s="317" t="s">
        <v>268</v>
      </c>
      <c r="C20" s="314" t="s">
        <v>269</v>
      </c>
      <c r="D20" s="315">
        <f>'См№5 Кадастр'!H69</f>
        <v>41565.87</v>
      </c>
      <c r="E20" s="315">
        <f>'См№5 Кадастр'!H70</f>
        <v>7481.86</v>
      </c>
      <c r="F20" s="316">
        <f>'См№5 Кадастр'!H71</f>
        <v>49047.73</v>
      </c>
      <c r="G20" s="20"/>
      <c r="H20" s="570"/>
      <c r="I20" s="8"/>
      <c r="J20" s="4"/>
      <c r="K20" s="13"/>
      <c r="L20" s="9"/>
      <c r="M20" s="11"/>
      <c r="N20" s="4"/>
      <c r="O20" s="5"/>
      <c r="P20" s="10"/>
      <c r="Q20" s="7"/>
      <c r="R20" s="6"/>
    </row>
    <row r="21" spans="1:18" ht="18.75" customHeight="1">
      <c r="A21" s="312">
        <v>6</v>
      </c>
      <c r="B21" s="317" t="s">
        <v>312</v>
      </c>
      <c r="C21" s="314" t="s">
        <v>313</v>
      </c>
      <c r="D21" s="315">
        <f>'См№6 Обслед'!M49</f>
        <v>61723.94</v>
      </c>
      <c r="E21" s="315">
        <f>'См№6 Обслед'!M50</f>
        <v>11110.31</v>
      </c>
      <c r="F21" s="316">
        <f>'См№6 Обслед'!M51</f>
        <v>72834.25</v>
      </c>
      <c r="G21" s="20"/>
      <c r="H21" s="570"/>
      <c r="I21" s="8"/>
      <c r="J21" s="4"/>
      <c r="K21" s="13"/>
      <c r="L21" s="9"/>
      <c r="M21" s="11"/>
      <c r="N21" s="4"/>
      <c r="O21" s="5"/>
      <c r="P21" s="10"/>
      <c r="Q21" s="7"/>
      <c r="R21" s="6"/>
    </row>
    <row r="22" spans="1:18" ht="12.75">
      <c r="A22" s="312">
        <v>7</v>
      </c>
      <c r="B22" s="313" t="s">
        <v>270</v>
      </c>
      <c r="C22" s="314" t="s">
        <v>271</v>
      </c>
      <c r="D22" s="315">
        <f>Экспертиза!B29</f>
        <v>491357.06</v>
      </c>
      <c r="E22" s="315">
        <f>Экспертиза!B30</f>
        <v>88444.26</v>
      </c>
      <c r="F22" s="316">
        <f>Экспертиза!B31</f>
        <v>579801.32</v>
      </c>
      <c r="H22" s="4"/>
      <c r="I22" s="4"/>
      <c r="J22" s="9"/>
      <c r="K22" s="9"/>
      <c r="L22" s="9"/>
      <c r="M22" s="9"/>
      <c r="N22" s="4"/>
      <c r="O22" s="5"/>
      <c r="P22" s="10"/>
      <c r="Q22" s="7"/>
      <c r="R22" s="7"/>
    </row>
    <row r="23" spans="1:16" ht="12.75">
      <c r="A23" s="312">
        <v>8</v>
      </c>
      <c r="B23" s="313" t="s">
        <v>11</v>
      </c>
      <c r="C23" s="314"/>
      <c r="D23" s="315">
        <f>SUM(D16:D22)</f>
        <v>6247646.83</v>
      </c>
      <c r="E23" s="315">
        <f>SUM(E16:E22)</f>
        <v>1124576.42</v>
      </c>
      <c r="F23" s="315">
        <f>SUM(F16:F22)</f>
        <v>7372223.25</v>
      </c>
      <c r="H23" s="4"/>
      <c r="I23" s="4"/>
      <c r="J23" s="11"/>
      <c r="K23" s="9"/>
      <c r="L23" s="9"/>
      <c r="M23" s="14"/>
      <c r="N23" s="4"/>
      <c r="O23" s="5"/>
      <c r="P23" s="10"/>
    </row>
    <row r="24" spans="1:16" ht="12.75" customHeight="1">
      <c r="A24" s="293"/>
      <c r="B24" s="293"/>
      <c r="C24" s="293"/>
      <c r="D24" s="318"/>
      <c r="E24" s="293"/>
      <c r="F24" s="318"/>
      <c r="H24" s="4"/>
      <c r="I24" s="4"/>
      <c r="J24" s="9"/>
      <c r="K24" s="9"/>
      <c r="L24" s="9"/>
      <c r="M24" s="9"/>
      <c r="N24" s="4"/>
      <c r="O24" s="5"/>
      <c r="P24" s="10"/>
    </row>
    <row r="25" spans="1:16" ht="12.75">
      <c r="A25" s="293"/>
      <c r="B25" s="31" t="s">
        <v>325</v>
      </c>
      <c r="C25" s="31"/>
      <c r="D25" s="31"/>
      <c r="E25" s="15"/>
      <c r="F25" s="393" t="s">
        <v>326</v>
      </c>
      <c r="H25" s="4"/>
      <c r="I25" s="4"/>
      <c r="J25" s="9"/>
      <c r="K25" s="9"/>
      <c r="L25" s="9"/>
      <c r="M25" s="9"/>
      <c r="N25" s="4"/>
      <c r="O25" s="5"/>
      <c r="P25" s="10"/>
    </row>
    <row r="26" spans="1:16" ht="12.75">
      <c r="A26" s="293"/>
      <c r="B26" s="31"/>
      <c r="C26" s="31"/>
      <c r="D26" s="293"/>
      <c r="E26" s="15"/>
      <c r="F26" s="293"/>
      <c r="H26" s="4"/>
      <c r="I26" s="4"/>
      <c r="J26" s="9"/>
      <c r="K26" s="9"/>
      <c r="L26" s="9"/>
      <c r="M26" s="9"/>
      <c r="N26" s="4"/>
      <c r="O26" s="5"/>
      <c r="P26" s="10"/>
    </row>
    <row r="27" spans="1:16" ht="12.75">
      <c r="A27" s="293"/>
      <c r="B27" s="293"/>
      <c r="C27" s="293"/>
      <c r="D27" s="293"/>
      <c r="E27" s="318"/>
      <c r="F27" s="293"/>
      <c r="H27" s="4"/>
      <c r="I27" s="4"/>
      <c r="J27" s="9"/>
      <c r="K27" s="9"/>
      <c r="L27" s="9"/>
      <c r="M27" s="9"/>
      <c r="N27" s="4"/>
      <c r="O27" s="5"/>
      <c r="P27" s="10"/>
    </row>
    <row r="28" spans="1:16" ht="12.75">
      <c r="A28" s="293"/>
      <c r="B28" s="293"/>
      <c r="C28" s="293"/>
      <c r="D28" s="293"/>
      <c r="E28" s="318"/>
      <c r="F28" s="293"/>
      <c r="H28" s="4"/>
      <c r="I28" s="4"/>
      <c r="J28" s="9"/>
      <c r="K28" s="9"/>
      <c r="L28" s="9"/>
      <c r="M28" s="9"/>
      <c r="N28" s="4"/>
      <c r="O28" s="5"/>
      <c r="P28" s="10"/>
    </row>
    <row r="29" spans="1:16" ht="12.75">
      <c r="A29" s="293"/>
      <c r="B29" s="15"/>
      <c r="C29" s="15"/>
      <c r="D29" s="293"/>
      <c r="E29" s="15"/>
      <c r="F29" s="293"/>
      <c r="H29" s="4"/>
      <c r="I29" s="4"/>
      <c r="J29" s="9"/>
      <c r="K29" s="9"/>
      <c r="L29" s="9"/>
      <c r="M29" s="9"/>
      <c r="N29" s="4"/>
      <c r="O29" s="5"/>
      <c r="P29" s="10"/>
    </row>
    <row r="30" spans="1:15" ht="12.75">
      <c r="A30" s="293"/>
      <c r="B30" s="15"/>
      <c r="C30" s="15"/>
      <c r="D30" s="293"/>
      <c r="E30" s="15"/>
      <c r="F30" s="293"/>
      <c r="H30" s="4"/>
      <c r="I30" s="4"/>
      <c r="J30" s="9"/>
      <c r="K30" s="9"/>
      <c r="L30" s="9"/>
      <c r="M30" s="9"/>
      <c r="N30" s="4"/>
      <c r="O30" s="5"/>
    </row>
    <row r="31" spans="1:15" ht="12.75">
      <c r="A31" s="293"/>
      <c r="B31" s="15"/>
      <c r="C31" s="15"/>
      <c r="D31" s="293"/>
      <c r="E31" s="15"/>
      <c r="F31" s="293"/>
      <c r="H31" s="4"/>
      <c r="I31" s="4"/>
      <c r="J31" s="9"/>
      <c r="K31" s="9"/>
      <c r="L31" s="9"/>
      <c r="M31" s="9"/>
      <c r="N31" s="4"/>
      <c r="O31" s="5"/>
    </row>
    <row r="32" spans="1:15" ht="12.75">
      <c r="A32" s="293"/>
      <c r="B32" s="15"/>
      <c r="C32" s="15"/>
      <c r="D32" s="293"/>
      <c r="E32" s="15"/>
      <c r="F32" s="293"/>
      <c r="H32" s="4"/>
      <c r="I32" s="4"/>
      <c r="J32" s="9"/>
      <c r="K32" s="9"/>
      <c r="L32" s="9"/>
      <c r="M32" s="9"/>
      <c r="N32" s="4"/>
      <c r="O32" s="5"/>
    </row>
    <row r="33" spans="1:15" ht="12.75">
      <c r="A33" s="293"/>
      <c r="B33" s="293"/>
      <c r="C33" s="293"/>
      <c r="D33" s="293"/>
      <c r="E33" s="293"/>
      <c r="F33" s="293"/>
      <c r="H33" s="4"/>
      <c r="I33" s="4"/>
      <c r="J33" s="9"/>
      <c r="K33" s="9"/>
      <c r="L33" s="9"/>
      <c r="M33" s="9"/>
      <c r="N33" s="4"/>
      <c r="O33" s="5"/>
    </row>
    <row r="34" spans="1:15" ht="12.75">
      <c r="A34" s="293"/>
      <c r="B34" s="293"/>
      <c r="C34" s="293"/>
      <c r="D34" s="293"/>
      <c r="E34" s="293"/>
      <c r="F34" s="293"/>
      <c r="H34" s="4"/>
      <c r="I34" s="4"/>
      <c r="J34" s="9"/>
      <c r="K34" s="9"/>
      <c r="L34" s="9"/>
      <c r="M34" s="9"/>
      <c r="N34" s="4"/>
      <c r="O34" s="4"/>
    </row>
    <row r="35" spans="1:15" ht="12.75">
      <c r="A35" s="293"/>
      <c r="B35" s="293"/>
      <c r="C35" s="293"/>
      <c r="D35" s="293"/>
      <c r="E35" s="293"/>
      <c r="F35" s="293"/>
      <c r="H35" s="4"/>
      <c r="I35" s="4"/>
      <c r="J35" s="9"/>
      <c r="K35" s="9"/>
      <c r="L35" s="9"/>
      <c r="M35" s="9"/>
      <c r="N35" s="4"/>
      <c r="O35" s="4"/>
    </row>
    <row r="36" spans="10:13" ht="12.75">
      <c r="J36" s="10"/>
      <c r="K36" s="10"/>
      <c r="L36" s="10"/>
      <c r="M36" s="10"/>
    </row>
    <row r="37" spans="10:13" ht="12.75">
      <c r="J37" s="10"/>
      <c r="K37" s="10"/>
      <c r="L37" s="10"/>
      <c r="M37" s="10"/>
    </row>
    <row r="38" spans="10:13" ht="12.75">
      <c r="J38" s="10"/>
      <c r="K38" s="10"/>
      <c r="L38" s="10"/>
      <c r="M38" s="10"/>
    </row>
    <row r="39" spans="10:13" ht="12.75">
      <c r="J39" s="10"/>
      <c r="K39" s="10"/>
      <c r="L39" s="10"/>
      <c r="M39" s="10"/>
    </row>
    <row r="40" spans="10:13" ht="12.75">
      <c r="J40" s="10"/>
      <c r="K40" s="10"/>
      <c r="L40" s="10"/>
      <c r="M40" s="10"/>
    </row>
    <row r="41" spans="10:13" ht="12.75">
      <c r="J41" s="10"/>
      <c r="K41" s="10"/>
      <c r="L41" s="10"/>
      <c r="M41" s="10"/>
    </row>
    <row r="42" spans="10:13" ht="12.75">
      <c r="J42" s="10"/>
      <c r="K42" s="10"/>
      <c r="L42" s="10"/>
      <c r="M42" s="10"/>
    </row>
    <row r="43" spans="10:13" ht="12.75">
      <c r="J43" s="10"/>
      <c r="K43" s="10"/>
      <c r="L43" s="10"/>
      <c r="M43" s="10"/>
    </row>
    <row r="44" spans="10:13" ht="12.75">
      <c r="J44" s="10"/>
      <c r="K44" s="10"/>
      <c r="L44" s="10"/>
      <c r="M44" s="10"/>
    </row>
    <row r="45" spans="10:13" ht="12.75">
      <c r="J45" s="10"/>
      <c r="K45" s="10"/>
      <c r="L45" s="10"/>
      <c r="M45" s="10"/>
    </row>
    <row r="46" spans="10:13" ht="12.75">
      <c r="J46" s="10"/>
      <c r="K46" s="10"/>
      <c r="L46" s="10"/>
      <c r="M46" s="10"/>
    </row>
    <row r="47" spans="10:13" ht="12.75">
      <c r="J47" s="10"/>
      <c r="K47" s="10"/>
      <c r="L47" s="10"/>
      <c r="M47" s="10"/>
    </row>
    <row r="48" spans="10:13" ht="12.75">
      <c r="J48" s="10"/>
      <c r="K48" s="10"/>
      <c r="L48" s="10"/>
      <c r="M48" s="10"/>
    </row>
    <row r="49" spans="10:13" ht="12.75">
      <c r="J49" s="10"/>
      <c r="K49" s="10"/>
      <c r="L49" s="10"/>
      <c r="M49" s="10"/>
    </row>
    <row r="50" spans="10:13" ht="12.75">
      <c r="J50" s="10"/>
      <c r="K50" s="10"/>
      <c r="L50" s="10"/>
      <c r="M50" s="10"/>
    </row>
    <row r="51" spans="10:13" ht="12.75">
      <c r="J51" s="10"/>
      <c r="K51" s="10"/>
      <c r="L51" s="10"/>
      <c r="M51" s="10"/>
    </row>
    <row r="52" spans="10:13" ht="12.75">
      <c r="J52" s="10"/>
      <c r="K52" s="10"/>
      <c r="L52" s="10"/>
      <c r="M52" s="10"/>
    </row>
    <row r="53" spans="10:13" ht="12.75">
      <c r="J53" s="10"/>
      <c r="K53" s="10"/>
      <c r="L53" s="10"/>
      <c r="M53" s="10"/>
    </row>
    <row r="54" spans="10:13" ht="12.75">
      <c r="J54" s="10"/>
      <c r="K54" s="10"/>
      <c r="L54" s="10"/>
      <c r="M54" s="10"/>
    </row>
    <row r="55" spans="10:13" ht="12.75">
      <c r="J55" s="10"/>
      <c r="K55" s="10"/>
      <c r="L55" s="10"/>
      <c r="M55" s="10"/>
    </row>
    <row r="56" spans="10:13" ht="12.75">
      <c r="J56" s="10"/>
      <c r="K56" s="10"/>
      <c r="L56" s="10"/>
      <c r="M56" s="10"/>
    </row>
    <row r="57" spans="10:13" ht="12.75">
      <c r="J57" s="10"/>
      <c r="K57" s="10"/>
      <c r="L57" s="10"/>
      <c r="M57" s="10"/>
    </row>
    <row r="58" spans="10:13" ht="12.75">
      <c r="J58" s="10"/>
      <c r="K58" s="10"/>
      <c r="L58" s="10"/>
      <c r="M58" s="10"/>
    </row>
    <row r="59" spans="10:13" ht="12.75">
      <c r="J59" s="10"/>
      <c r="K59" s="10"/>
      <c r="L59" s="10"/>
      <c r="M59" s="10"/>
    </row>
    <row r="60" spans="10:13" ht="12.75">
      <c r="J60" s="10"/>
      <c r="K60" s="10"/>
      <c r="L60" s="10"/>
      <c r="M60" s="10"/>
    </row>
    <row r="61" spans="10:13" ht="12.75">
      <c r="J61" s="10"/>
      <c r="K61" s="10"/>
      <c r="L61" s="10"/>
      <c r="M61" s="10"/>
    </row>
    <row r="62" spans="10:13" ht="12.75">
      <c r="J62" s="10"/>
      <c r="K62" s="10"/>
      <c r="L62" s="10"/>
      <c r="M62" s="10"/>
    </row>
    <row r="63" spans="10:13" ht="12.75">
      <c r="J63" s="10"/>
      <c r="K63" s="10"/>
      <c r="L63" s="10"/>
      <c r="M63" s="10"/>
    </row>
    <row r="64" spans="10:13" ht="12.75">
      <c r="J64" s="10"/>
      <c r="K64" s="10"/>
      <c r="L64" s="10"/>
      <c r="M64" s="10"/>
    </row>
    <row r="65" spans="10:13" ht="12.75">
      <c r="J65" s="10"/>
      <c r="K65" s="10"/>
      <c r="L65" s="10"/>
      <c r="M65" s="10"/>
    </row>
    <row r="66" spans="10:13" ht="12.75">
      <c r="J66" s="10"/>
      <c r="K66" s="10"/>
      <c r="L66" s="10"/>
      <c r="M66" s="10"/>
    </row>
    <row r="67" spans="10:13" ht="12.75">
      <c r="J67" s="10"/>
      <c r="K67" s="10"/>
      <c r="L67" s="10"/>
      <c r="M67" s="10"/>
    </row>
  </sheetData>
  <sheetProtection/>
  <mergeCells count="17">
    <mergeCell ref="A12:F12"/>
    <mergeCell ref="E2:F2"/>
    <mergeCell ref="E3:F3"/>
    <mergeCell ref="E4:F4"/>
    <mergeCell ref="E5:F5"/>
    <mergeCell ref="E6:F6"/>
    <mergeCell ref="E7:F7"/>
    <mergeCell ref="E1:F1"/>
    <mergeCell ref="F14:F15"/>
    <mergeCell ref="A14:A15"/>
    <mergeCell ref="B14:B15"/>
    <mergeCell ref="C14:C15"/>
    <mergeCell ref="D14:D15"/>
    <mergeCell ref="E14:E15"/>
    <mergeCell ref="A8:F8"/>
    <mergeCell ref="A10:F10"/>
    <mergeCell ref="A11:F11"/>
  </mergeCells>
  <printOptions/>
  <pageMargins left="0.43" right="0.43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B33"/>
  <sheetViews>
    <sheetView view="pageBreakPreview" zoomScaleSheetLayoutView="100" zoomScalePageLayoutView="0" workbookViewId="0" topLeftCell="A7">
      <selection activeCell="C16" sqref="C16:D16"/>
    </sheetView>
  </sheetViews>
  <sheetFormatPr defaultColWidth="9.00390625" defaultRowHeight="12.75"/>
  <cols>
    <col min="1" max="1" width="2.75390625" style="3" customWidth="1"/>
    <col min="2" max="2" width="14.125" style="3" customWidth="1"/>
    <col min="3" max="3" width="15.75390625" style="3" customWidth="1"/>
    <col min="4" max="4" width="7.75390625" style="3" customWidth="1"/>
    <col min="5" max="5" width="1.75390625" style="3" customWidth="1"/>
    <col min="6" max="6" width="7.375" style="3" customWidth="1"/>
    <col min="7" max="7" width="1.25" style="3" customWidth="1"/>
    <col min="8" max="8" width="5.125" style="3" customWidth="1"/>
    <col min="9" max="9" width="1.75390625" style="3" customWidth="1"/>
    <col min="10" max="10" width="7.125" style="3" customWidth="1"/>
    <col min="11" max="11" width="2.875" style="3" customWidth="1"/>
    <col min="12" max="12" width="6.375" style="3" customWidth="1"/>
    <col min="13" max="13" width="1.25" style="3" customWidth="1"/>
    <col min="14" max="14" width="0.2421875" style="3" customWidth="1"/>
    <col min="15" max="15" width="1.875" style="3" hidden="1" customWidth="1"/>
    <col min="16" max="16" width="1.25" style="3" hidden="1" customWidth="1"/>
    <col min="17" max="17" width="0.37109375" style="3" hidden="1" customWidth="1"/>
    <col min="18" max="20" width="1.25" style="3" hidden="1" customWidth="1"/>
    <col min="21" max="21" width="0.74609375" style="3" hidden="1" customWidth="1"/>
    <col min="22" max="22" width="11.75390625" style="10" customWidth="1"/>
    <col min="23" max="23" width="9.125" style="3" customWidth="1"/>
    <col min="24" max="24" width="16.375" style="3" customWidth="1"/>
    <col min="25" max="16384" width="9.125" style="3" customWidth="1"/>
  </cols>
  <sheetData>
    <row r="1" spans="8:22" ht="17.25" customHeight="1">
      <c r="H1" s="444" t="s">
        <v>317</v>
      </c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</row>
    <row r="2" spans="8:22" ht="13.5" customHeight="1">
      <c r="H2" s="414" t="s">
        <v>318</v>
      </c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</row>
    <row r="3" spans="8:22" ht="15" customHeight="1">
      <c r="H3" s="414" t="s">
        <v>319</v>
      </c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</row>
    <row r="4" spans="8:22" ht="21.75" customHeight="1">
      <c r="H4" s="414" t="s">
        <v>320</v>
      </c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</row>
    <row r="5" spans="8:22" ht="19.5" customHeight="1">
      <c r="H5" s="414" t="s">
        <v>321</v>
      </c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</row>
    <row r="6" spans="5:22" ht="12.75">
      <c r="E6" s="414"/>
      <c r="F6" s="414"/>
      <c r="V6" s="3"/>
    </row>
    <row r="7" spans="1:22" ht="12.75">
      <c r="A7" s="411" t="s">
        <v>327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</row>
    <row r="8" spans="1:22" ht="12.75">
      <c r="A8" s="422" t="s">
        <v>328</v>
      </c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</row>
    <row r="9" spans="1:22" ht="12.75">
      <c r="A9" s="389"/>
      <c r="B9" s="389"/>
      <c r="C9" s="389"/>
      <c r="D9" s="389"/>
      <c r="E9" s="389"/>
      <c r="F9" s="389"/>
      <c r="V9" s="3"/>
    </row>
    <row r="10" spans="1:22" ht="27.75" customHeight="1">
      <c r="A10" s="413" t="s">
        <v>324</v>
      </c>
      <c r="B10" s="413"/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  <c r="V10" s="413"/>
    </row>
    <row r="11" spans="1:22" ht="13.5" customHeight="1">
      <c r="A11" s="413" t="s">
        <v>322</v>
      </c>
      <c r="B11" s="413"/>
      <c r="C11" s="413"/>
      <c r="D11" s="413"/>
      <c r="E11" s="413"/>
      <c r="F11" s="413"/>
      <c r="G11" s="17"/>
      <c r="H11" s="16"/>
      <c r="I11" s="17"/>
      <c r="J11" s="16"/>
      <c r="V11" s="3"/>
    </row>
    <row r="12" spans="1:22" ht="13.5" customHeight="1">
      <c r="A12" s="413" t="s">
        <v>323</v>
      </c>
      <c r="B12" s="413"/>
      <c r="C12" s="413"/>
      <c r="D12" s="413"/>
      <c r="E12" s="413"/>
      <c r="F12" s="413"/>
      <c r="G12" s="17"/>
      <c r="H12" s="16"/>
      <c r="I12" s="17"/>
      <c r="J12" s="16"/>
      <c r="V12" s="3"/>
    </row>
    <row r="13" spans="1:22" ht="13.5" customHeight="1">
      <c r="A13" s="392"/>
      <c r="B13" s="392"/>
      <c r="C13" s="392"/>
      <c r="D13" s="392"/>
      <c r="E13" s="392"/>
      <c r="F13" s="392"/>
      <c r="G13" s="17"/>
      <c r="H13" s="16"/>
      <c r="I13" s="17"/>
      <c r="J13" s="16"/>
      <c r="V13" s="3"/>
    </row>
    <row r="14" spans="1:22" ht="99" customHeight="1">
      <c r="A14" s="576" t="s">
        <v>0</v>
      </c>
      <c r="B14" s="576" t="s">
        <v>1</v>
      </c>
      <c r="C14" s="420" t="s">
        <v>2</v>
      </c>
      <c r="D14" s="577"/>
      <c r="E14" s="421" t="s">
        <v>17</v>
      </c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577"/>
      <c r="V14" s="576" t="s">
        <v>15</v>
      </c>
    </row>
    <row r="15" spans="1:22" ht="11.25" customHeight="1">
      <c r="A15" s="24">
        <v>1</v>
      </c>
      <c r="B15" s="24">
        <v>2</v>
      </c>
      <c r="C15" s="578">
        <v>3</v>
      </c>
      <c r="D15" s="579"/>
      <c r="E15" s="415" t="s">
        <v>14</v>
      </c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15"/>
      <c r="T15" s="415"/>
      <c r="U15" s="579"/>
      <c r="V15" s="580">
        <v>5</v>
      </c>
    </row>
    <row r="16" spans="1:22" ht="132.75" customHeight="1">
      <c r="A16" s="581" t="s">
        <v>4</v>
      </c>
      <c r="B16" s="582" t="s">
        <v>314</v>
      </c>
      <c r="C16" s="583" t="s">
        <v>315</v>
      </c>
      <c r="D16" s="584"/>
      <c r="E16" s="585" t="s">
        <v>59</v>
      </c>
      <c r="F16" s="586">
        <f>D17</f>
        <v>1529.7</v>
      </c>
      <c r="G16" s="587" t="s">
        <v>60</v>
      </c>
      <c r="H16" s="587">
        <f>D19</f>
        <v>26.2</v>
      </c>
      <c r="I16" s="588" t="s">
        <v>12</v>
      </c>
      <c r="J16" s="589">
        <f>D18</f>
        <v>68.47</v>
      </c>
      <c r="K16" s="106" t="s">
        <v>61</v>
      </c>
      <c r="L16" s="590"/>
      <c r="M16" s="572"/>
      <c r="N16" s="572"/>
      <c r="O16" s="572"/>
      <c r="P16" s="572"/>
      <c r="Q16" s="572"/>
      <c r="R16" s="572"/>
      <c r="S16" s="572"/>
      <c r="T16" s="572"/>
      <c r="U16" s="572"/>
      <c r="V16" s="591">
        <f>ROUND((F16+H16*J16)*H18*J18,2)</f>
        <v>12762.68</v>
      </c>
    </row>
    <row r="17" spans="1:22" ht="11.25" customHeight="1">
      <c r="A17" s="592"/>
      <c r="B17" s="593"/>
      <c r="C17" s="594" t="s">
        <v>82</v>
      </c>
      <c r="D17" s="595">
        <v>1529.7</v>
      </c>
      <c r="E17" s="596"/>
      <c r="F17" s="596"/>
      <c r="G17" s="596"/>
      <c r="H17" s="597"/>
      <c r="I17" s="597"/>
      <c r="J17" s="597"/>
      <c r="K17" s="597"/>
      <c r="L17" s="597"/>
      <c r="M17" s="597"/>
      <c r="N17" s="597"/>
      <c r="O17" s="597"/>
      <c r="P17" s="597"/>
      <c r="Q17" s="597"/>
      <c r="R17" s="597"/>
      <c r="S17" s="597"/>
      <c r="T17" s="597"/>
      <c r="U17" s="598"/>
      <c r="V17" s="599"/>
    </row>
    <row r="18" spans="1:22" ht="11.25" customHeight="1">
      <c r="A18" s="592"/>
      <c r="B18" s="593"/>
      <c r="C18" s="594" t="s">
        <v>83</v>
      </c>
      <c r="D18" s="600">
        <v>68.47</v>
      </c>
      <c r="E18" s="601"/>
      <c r="F18" s="602"/>
      <c r="G18" s="603" t="s">
        <v>12</v>
      </c>
      <c r="H18" s="604">
        <f>D20</f>
        <v>1</v>
      </c>
      <c r="I18" s="605" t="s">
        <v>12</v>
      </c>
      <c r="J18" s="606">
        <f>D21</f>
        <v>3.84</v>
      </c>
      <c r="K18" s="607"/>
      <c r="L18" s="608"/>
      <c r="M18" s="608"/>
      <c r="N18" s="604"/>
      <c r="O18" s="603"/>
      <c r="P18" s="597"/>
      <c r="Q18" s="597"/>
      <c r="R18" s="597"/>
      <c r="S18" s="597"/>
      <c r="T18" s="597"/>
      <c r="U18" s="598"/>
      <c r="V18" s="599"/>
    </row>
    <row r="19" spans="1:22" ht="11.25" customHeight="1">
      <c r="A19" s="592"/>
      <c r="B19" s="609"/>
      <c r="C19" s="594" t="s">
        <v>84</v>
      </c>
      <c r="D19" s="610">
        <v>26.2</v>
      </c>
      <c r="E19" s="596"/>
      <c r="F19" s="596"/>
      <c r="G19" s="596"/>
      <c r="H19" s="597"/>
      <c r="I19" s="597"/>
      <c r="J19" s="597"/>
      <c r="K19" s="597"/>
      <c r="L19" s="597"/>
      <c r="M19" s="597"/>
      <c r="N19" s="597"/>
      <c r="O19" s="597"/>
      <c r="P19" s="597"/>
      <c r="Q19" s="597"/>
      <c r="R19" s="597"/>
      <c r="S19" s="597"/>
      <c r="T19" s="597"/>
      <c r="U19" s="598"/>
      <c r="V19" s="599"/>
    </row>
    <row r="20" spans="1:22" ht="15.75" customHeight="1">
      <c r="A20" s="592"/>
      <c r="B20" s="611" t="s">
        <v>85</v>
      </c>
      <c r="C20" s="612"/>
      <c r="D20" s="600">
        <v>1</v>
      </c>
      <c r="E20" s="596"/>
      <c r="F20" s="596"/>
      <c r="G20" s="596"/>
      <c r="H20" s="597"/>
      <c r="I20" s="597"/>
      <c r="J20" s="597"/>
      <c r="K20" s="597"/>
      <c r="L20" s="597"/>
      <c r="M20" s="597"/>
      <c r="N20" s="597"/>
      <c r="O20" s="597"/>
      <c r="P20" s="597"/>
      <c r="Q20" s="597"/>
      <c r="R20" s="597"/>
      <c r="S20" s="597"/>
      <c r="T20" s="597"/>
      <c r="U20" s="598"/>
      <c r="V20" s="599"/>
    </row>
    <row r="21" spans="1:28" ht="27.75" customHeight="1">
      <c r="A21" s="613"/>
      <c r="B21" s="614" t="s">
        <v>93</v>
      </c>
      <c r="C21" s="615"/>
      <c r="D21" s="616">
        <v>3.84</v>
      </c>
      <c r="E21" s="617"/>
      <c r="F21" s="617"/>
      <c r="G21" s="617"/>
      <c r="H21" s="618"/>
      <c r="I21" s="618"/>
      <c r="J21" s="618"/>
      <c r="K21" s="618"/>
      <c r="L21" s="618"/>
      <c r="M21" s="618"/>
      <c r="N21" s="618"/>
      <c r="O21" s="618"/>
      <c r="P21" s="618"/>
      <c r="Q21" s="618"/>
      <c r="R21" s="618"/>
      <c r="S21" s="618"/>
      <c r="T21" s="618"/>
      <c r="U21" s="619"/>
      <c r="V21" s="620"/>
      <c r="AA21" s="573"/>
      <c r="AB21" s="573"/>
    </row>
    <row r="22" spans="1:22" ht="13.5" customHeight="1">
      <c r="A22" s="621" t="s">
        <v>3</v>
      </c>
      <c r="B22" s="622"/>
      <c r="C22" s="623" t="s">
        <v>81</v>
      </c>
      <c r="D22" s="624"/>
      <c r="E22" s="624"/>
      <c r="F22" s="624"/>
      <c r="G22" s="624"/>
      <c r="H22" s="624"/>
      <c r="I22" s="624"/>
      <c r="J22" s="624"/>
      <c r="K22" s="624"/>
      <c r="L22" s="624"/>
      <c r="M22" s="624"/>
      <c r="N22" s="624"/>
      <c r="O22" s="624"/>
      <c r="P22" s="624"/>
      <c r="Q22" s="624"/>
      <c r="R22" s="624"/>
      <c r="S22" s="624"/>
      <c r="T22" s="624"/>
      <c r="U22" s="625"/>
      <c r="V22" s="626">
        <f>V16*1000</f>
        <v>12762680</v>
      </c>
    </row>
    <row r="23" spans="1:28" ht="16.5" customHeight="1">
      <c r="A23" s="621" t="s">
        <v>13</v>
      </c>
      <c r="B23" s="420" t="s">
        <v>21</v>
      </c>
      <c r="C23" s="421"/>
      <c r="D23" s="22" t="s">
        <v>4</v>
      </c>
      <c r="E23" s="416">
        <f>V22</f>
        <v>12762680</v>
      </c>
      <c r="F23" s="417"/>
      <c r="G23" s="417"/>
      <c r="H23" s="417"/>
      <c r="I23" s="417"/>
      <c r="J23" s="417"/>
      <c r="K23" s="101" t="s">
        <v>12</v>
      </c>
      <c r="L23" s="101" t="s">
        <v>316</v>
      </c>
      <c r="M23" s="101"/>
      <c r="N23" s="101"/>
      <c r="O23" s="101"/>
      <c r="P23" s="101"/>
      <c r="Q23" s="101"/>
      <c r="R23" s="101"/>
      <c r="S23" s="101"/>
      <c r="T23" s="101"/>
      <c r="U23" s="101"/>
      <c r="V23" s="627">
        <f>ROUND(E23*L23,3)</f>
        <v>4840884.52</v>
      </c>
      <c r="Z23" s="574"/>
      <c r="AA23" s="574"/>
      <c r="AB23" s="574"/>
    </row>
    <row r="24" spans="1:27" ht="12.75">
      <c r="A24" s="628" t="s">
        <v>14</v>
      </c>
      <c r="B24" s="1"/>
      <c r="C24" s="2" t="s">
        <v>16</v>
      </c>
      <c r="D24" s="629">
        <v>0.18</v>
      </c>
      <c r="E24" s="21"/>
      <c r="F24" s="21"/>
      <c r="G24" s="21"/>
      <c r="H24" s="630"/>
      <c r="I24" s="630"/>
      <c r="J24" s="630"/>
      <c r="K24" s="630"/>
      <c r="L24" s="630"/>
      <c r="M24" s="630"/>
      <c r="N24" s="630"/>
      <c r="O24" s="630"/>
      <c r="P24" s="630"/>
      <c r="Q24" s="630"/>
      <c r="R24" s="630"/>
      <c r="S24" s="630"/>
      <c r="T24" s="630"/>
      <c r="U24" s="630"/>
      <c r="V24" s="631">
        <f>ROUND(V23*0.18,3)</f>
        <v>871359.21</v>
      </c>
      <c r="Z24" s="567"/>
      <c r="AA24" s="567"/>
    </row>
    <row r="25" spans="1:22" ht="19.5" customHeight="1">
      <c r="A25" s="24" t="s">
        <v>20</v>
      </c>
      <c r="B25" s="415" t="s">
        <v>90</v>
      </c>
      <c r="C25" s="415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102"/>
      <c r="P25" s="15"/>
      <c r="Q25" s="15"/>
      <c r="R25" s="15"/>
      <c r="S25" s="15"/>
      <c r="T25" s="15"/>
      <c r="U25" s="15"/>
      <c r="V25" s="108">
        <f>ROUND((V23+V24),2)</f>
        <v>5712243.73</v>
      </c>
    </row>
    <row r="26" spans="1:22" ht="13.5" customHeight="1">
      <c r="A26" s="100" t="s">
        <v>74</v>
      </c>
      <c r="B26" s="418" t="s">
        <v>75</v>
      </c>
      <c r="C26" s="419"/>
      <c r="D26" s="103" t="s">
        <v>76</v>
      </c>
      <c r="E26" s="425">
        <f>V25</f>
        <v>5712243.73</v>
      </c>
      <c r="F26" s="426"/>
      <c r="G26" s="426"/>
      <c r="H26" s="426"/>
      <c r="I26" s="426"/>
      <c r="J26" s="426"/>
      <c r="K26" s="106" t="s">
        <v>12</v>
      </c>
      <c r="L26" s="107" t="s">
        <v>77</v>
      </c>
      <c r="M26" s="107"/>
      <c r="N26" s="107"/>
      <c r="O26" s="107"/>
      <c r="P26" s="101"/>
      <c r="Q26" s="101"/>
      <c r="R26" s="101"/>
      <c r="S26" s="101"/>
      <c r="T26" s="101"/>
      <c r="U26" s="101"/>
      <c r="V26" s="108">
        <f>ROUND(E26*L26,2)</f>
        <v>2284897.49</v>
      </c>
    </row>
    <row r="27" spans="1:22" ht="12.75">
      <c r="A27" s="575"/>
      <c r="B27" s="423" t="s">
        <v>78</v>
      </c>
      <c r="C27" s="424"/>
      <c r="D27" s="22" t="s">
        <v>79</v>
      </c>
      <c r="E27" s="416">
        <f>V25</f>
        <v>5712243.73</v>
      </c>
      <c r="F27" s="417"/>
      <c r="G27" s="417"/>
      <c r="H27" s="417"/>
      <c r="I27" s="417"/>
      <c r="J27" s="417"/>
      <c r="K27" s="104" t="s">
        <v>12</v>
      </c>
      <c r="L27" s="101" t="s">
        <v>80</v>
      </c>
      <c r="M27" s="101"/>
      <c r="N27" s="101"/>
      <c r="O27" s="102"/>
      <c r="P27" s="105"/>
      <c r="Q27" s="105"/>
      <c r="R27" s="105"/>
      <c r="S27" s="105"/>
      <c r="T27" s="105"/>
      <c r="U27" s="105"/>
      <c r="V27" s="109">
        <f>ROUND(E27*L27,2)</f>
        <v>3427346.24</v>
      </c>
    </row>
    <row r="29" spans="2:12" ht="12.75">
      <c r="B29" s="15" t="s">
        <v>325</v>
      </c>
      <c r="C29" s="15"/>
      <c r="H29" s="15"/>
      <c r="L29" s="3" t="s">
        <v>326</v>
      </c>
    </row>
    <row r="30" spans="2:7" ht="12.75">
      <c r="B30" s="632"/>
      <c r="C30" s="633"/>
      <c r="G30" s="633"/>
    </row>
    <row r="31" spans="2:7" ht="12.75">
      <c r="B31" s="633"/>
      <c r="C31" s="633"/>
      <c r="G31" s="633"/>
    </row>
    <row r="32" spans="2:7" ht="12.75">
      <c r="B32" s="633"/>
      <c r="C32" s="633"/>
      <c r="G32" s="633"/>
    </row>
    <row r="33" spans="2:7" ht="12.75">
      <c r="B33" s="634"/>
      <c r="C33" s="633"/>
      <c r="G33" s="633"/>
    </row>
  </sheetData>
  <sheetProtection/>
  <mergeCells count="29">
    <mergeCell ref="H1:V1"/>
    <mergeCell ref="H2:V2"/>
    <mergeCell ref="H3:V3"/>
    <mergeCell ref="H4:V4"/>
    <mergeCell ref="H5:V5"/>
    <mergeCell ref="A7:V7"/>
    <mergeCell ref="E6:F6"/>
    <mergeCell ref="A11:F11"/>
    <mergeCell ref="A12:F12"/>
    <mergeCell ref="A10:V10"/>
    <mergeCell ref="A8:V8"/>
    <mergeCell ref="B27:C27"/>
    <mergeCell ref="E26:J26"/>
    <mergeCell ref="E27:J27"/>
    <mergeCell ref="AA21:AB21"/>
    <mergeCell ref="C22:U22"/>
    <mergeCell ref="B21:C21"/>
    <mergeCell ref="C14:D14"/>
    <mergeCell ref="E14:U14"/>
    <mergeCell ref="C15:D15"/>
    <mergeCell ref="E15:U15"/>
    <mergeCell ref="C16:D16"/>
    <mergeCell ref="L18:M18"/>
    <mergeCell ref="Z23:AB23"/>
    <mergeCell ref="Z24:AA24"/>
    <mergeCell ref="B25:N25"/>
    <mergeCell ref="E23:J23"/>
    <mergeCell ref="B26:C26"/>
    <mergeCell ref="B23:C23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7"/>
  <sheetViews>
    <sheetView view="pageBreakPreview" zoomScaleSheetLayoutView="100" zoomScalePageLayoutView="0" workbookViewId="0" topLeftCell="A7">
      <selection activeCell="B4" sqref="B4"/>
    </sheetView>
  </sheetViews>
  <sheetFormatPr defaultColWidth="9.00390625" defaultRowHeight="12.75"/>
  <cols>
    <col min="1" max="1" width="4.00390625" style="3" customWidth="1"/>
    <col min="2" max="2" width="35.25390625" style="3" customWidth="1"/>
    <col min="3" max="3" width="7.375" style="3" customWidth="1"/>
    <col min="4" max="4" width="14.875" style="3" customWidth="1"/>
    <col min="5" max="5" width="6.25390625" style="3" customWidth="1"/>
    <col min="6" max="6" width="2.25390625" style="3" customWidth="1"/>
    <col min="7" max="7" width="5.375" style="3" customWidth="1"/>
    <col min="8" max="8" width="2.625" style="3" customWidth="1"/>
    <col min="9" max="9" width="5.00390625" style="3" customWidth="1"/>
    <col min="10" max="10" width="1.625" style="3" customWidth="1"/>
    <col min="11" max="11" width="5.25390625" style="3" customWidth="1"/>
    <col min="12" max="12" width="1.25" style="3" customWidth="1"/>
    <col min="13" max="13" width="4.125" style="3" customWidth="1"/>
    <col min="14" max="14" width="12.375" style="3" customWidth="1"/>
    <col min="15" max="16384" width="9.125" style="3" customWidth="1"/>
  </cols>
  <sheetData>
    <row r="1" spans="6:22" ht="17.25" customHeight="1">
      <c r="F1" s="444" t="s">
        <v>317</v>
      </c>
      <c r="G1" s="444"/>
      <c r="H1" s="444"/>
      <c r="I1" s="444"/>
      <c r="J1" s="444"/>
      <c r="K1" s="444"/>
      <c r="L1" s="444"/>
      <c r="M1" s="444"/>
      <c r="N1" s="444"/>
      <c r="O1" s="396"/>
      <c r="P1" s="396"/>
      <c r="Q1" s="396"/>
      <c r="R1" s="396"/>
      <c r="S1" s="396"/>
      <c r="T1" s="396"/>
      <c r="U1" s="396"/>
      <c r="V1" s="396"/>
    </row>
    <row r="2" spans="6:22" ht="13.5" customHeight="1">
      <c r="F2" s="414" t="s">
        <v>318</v>
      </c>
      <c r="G2" s="414"/>
      <c r="H2" s="414"/>
      <c r="I2" s="414"/>
      <c r="J2" s="414"/>
      <c r="K2" s="414"/>
      <c r="L2" s="414"/>
      <c r="M2" s="414"/>
      <c r="N2" s="414"/>
      <c r="O2" s="76"/>
      <c r="P2" s="76"/>
      <c r="Q2" s="76"/>
      <c r="R2" s="76"/>
      <c r="S2" s="76"/>
      <c r="T2" s="76"/>
      <c r="U2" s="76"/>
      <c r="V2" s="76"/>
    </row>
    <row r="3" spans="6:22" ht="15" customHeight="1">
      <c r="F3" s="414" t="s">
        <v>319</v>
      </c>
      <c r="G3" s="414"/>
      <c r="H3" s="414"/>
      <c r="I3" s="414"/>
      <c r="J3" s="414"/>
      <c r="K3" s="414"/>
      <c r="L3" s="414"/>
      <c r="M3" s="414"/>
      <c r="N3" s="414"/>
      <c r="O3" s="76"/>
      <c r="P3" s="76"/>
      <c r="Q3" s="76"/>
      <c r="R3" s="76"/>
      <c r="S3" s="76"/>
      <c r="T3" s="76"/>
      <c r="U3" s="76"/>
      <c r="V3" s="76"/>
    </row>
    <row r="4" spans="6:22" ht="21.75" customHeight="1">
      <c r="F4" s="414" t="s">
        <v>320</v>
      </c>
      <c r="G4" s="414"/>
      <c r="H4" s="414"/>
      <c r="I4" s="414"/>
      <c r="J4" s="414"/>
      <c r="K4" s="414"/>
      <c r="L4" s="414"/>
      <c r="M4" s="414"/>
      <c r="N4" s="414"/>
      <c r="O4" s="76"/>
      <c r="P4" s="76"/>
      <c r="Q4" s="76"/>
      <c r="R4" s="76"/>
      <c r="S4" s="76"/>
      <c r="T4" s="76"/>
      <c r="U4" s="76"/>
      <c r="V4" s="76"/>
    </row>
    <row r="5" spans="6:22" ht="19.5" customHeight="1">
      <c r="F5" s="414" t="s">
        <v>321</v>
      </c>
      <c r="G5" s="414"/>
      <c r="H5" s="414"/>
      <c r="I5" s="414"/>
      <c r="J5" s="414"/>
      <c r="K5" s="414"/>
      <c r="L5" s="414"/>
      <c r="M5" s="414"/>
      <c r="N5" s="414"/>
      <c r="O5" s="76"/>
      <c r="P5" s="76"/>
      <c r="Q5" s="76"/>
      <c r="R5" s="76"/>
      <c r="S5" s="76"/>
      <c r="T5" s="76"/>
      <c r="U5" s="76"/>
      <c r="V5" s="76"/>
    </row>
    <row r="6" spans="5:6" ht="12.75">
      <c r="E6" s="414"/>
      <c r="F6" s="414"/>
    </row>
    <row r="7" spans="1:22" ht="12.75">
      <c r="A7" s="411" t="s">
        <v>94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395"/>
      <c r="P7" s="395"/>
      <c r="Q7" s="395"/>
      <c r="R7" s="395"/>
      <c r="S7" s="395"/>
      <c r="T7" s="395"/>
      <c r="U7" s="395"/>
      <c r="V7" s="395"/>
    </row>
    <row r="8" spans="1:22" ht="12.75">
      <c r="A8" s="422" t="s">
        <v>95</v>
      </c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398"/>
      <c r="P8" s="398"/>
      <c r="Q8" s="398"/>
      <c r="R8" s="398"/>
      <c r="S8" s="398"/>
      <c r="T8" s="398"/>
      <c r="U8" s="398"/>
      <c r="V8" s="398"/>
    </row>
    <row r="9" spans="1:6" ht="12.75">
      <c r="A9" s="389"/>
      <c r="B9" s="389"/>
      <c r="C9" s="389"/>
      <c r="D9" s="389"/>
      <c r="E9" s="389"/>
      <c r="F9" s="389"/>
    </row>
    <row r="10" spans="1:22" ht="15.75" customHeight="1">
      <c r="A10" s="413" t="s">
        <v>324</v>
      </c>
      <c r="B10" s="413"/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  <c r="V10" s="413"/>
    </row>
    <row r="11" spans="1:10" ht="13.5" customHeight="1">
      <c r="A11" s="413" t="s">
        <v>322</v>
      </c>
      <c r="B11" s="413"/>
      <c r="C11" s="413"/>
      <c r="D11" s="413"/>
      <c r="E11" s="413"/>
      <c r="F11" s="413"/>
      <c r="G11" s="17"/>
      <c r="H11" s="16"/>
      <c r="I11" s="17"/>
      <c r="J11" s="16"/>
    </row>
    <row r="12" spans="1:10" ht="13.5" customHeight="1">
      <c r="A12" s="413" t="s">
        <v>323</v>
      </c>
      <c r="B12" s="413"/>
      <c r="C12" s="413"/>
      <c r="D12" s="413"/>
      <c r="E12" s="413"/>
      <c r="F12" s="413"/>
      <c r="G12" s="17"/>
      <c r="H12" s="16"/>
      <c r="I12" s="17"/>
      <c r="J12" s="16"/>
    </row>
    <row r="13" spans="1:14" ht="12.75">
      <c r="A13" s="675" t="s">
        <v>88</v>
      </c>
      <c r="B13" s="676" t="s">
        <v>96</v>
      </c>
      <c r="C13" s="676"/>
      <c r="D13" s="676"/>
      <c r="E13" s="676"/>
      <c r="F13" s="676"/>
      <c r="G13" s="676"/>
      <c r="H13" s="676"/>
      <c r="I13" s="676"/>
      <c r="J13" s="676"/>
      <c r="K13" s="676"/>
      <c r="L13" s="675"/>
      <c r="M13" s="675"/>
      <c r="N13" s="675"/>
    </row>
    <row r="14" spans="1:14" ht="12.75">
      <c r="A14" s="635" t="s">
        <v>97</v>
      </c>
      <c r="B14" s="635" t="s">
        <v>98</v>
      </c>
      <c r="C14" s="635" t="s">
        <v>99</v>
      </c>
      <c r="D14" s="635" t="s">
        <v>100</v>
      </c>
      <c r="E14" s="438" t="s">
        <v>101</v>
      </c>
      <c r="F14" s="439"/>
      <c r="G14" s="439"/>
      <c r="H14" s="439"/>
      <c r="I14" s="439"/>
      <c r="J14" s="439"/>
      <c r="K14" s="439"/>
      <c r="L14" s="439"/>
      <c r="M14" s="439"/>
      <c r="N14" s="442" t="s">
        <v>102</v>
      </c>
    </row>
    <row r="15" spans="1:14" ht="12.75">
      <c r="A15" s="635"/>
      <c r="B15" s="635"/>
      <c r="C15" s="635"/>
      <c r="D15" s="635"/>
      <c r="E15" s="440"/>
      <c r="F15" s="441"/>
      <c r="G15" s="441"/>
      <c r="H15" s="441"/>
      <c r="I15" s="441"/>
      <c r="J15" s="441"/>
      <c r="K15" s="441"/>
      <c r="L15" s="441"/>
      <c r="M15" s="441"/>
      <c r="N15" s="443"/>
    </row>
    <row r="16" spans="1:14" ht="12.75">
      <c r="A16" s="636">
        <v>1</v>
      </c>
      <c r="B16" s="636">
        <v>2</v>
      </c>
      <c r="C16" s="636">
        <v>3</v>
      </c>
      <c r="D16" s="636">
        <v>4</v>
      </c>
      <c r="E16" s="436">
        <v>5</v>
      </c>
      <c r="F16" s="437"/>
      <c r="G16" s="437"/>
      <c r="H16" s="437"/>
      <c r="I16" s="437"/>
      <c r="J16" s="437"/>
      <c r="K16" s="437"/>
      <c r="L16" s="437"/>
      <c r="M16" s="437"/>
      <c r="N16" s="117">
        <v>6</v>
      </c>
    </row>
    <row r="17" spans="1:14" ht="12.75">
      <c r="A17" s="399"/>
      <c r="B17" s="399" t="s">
        <v>103</v>
      </c>
      <c r="C17" s="636"/>
      <c r="D17" s="677"/>
      <c r="E17" s="116"/>
      <c r="F17" s="116"/>
      <c r="G17" s="116"/>
      <c r="H17" s="116"/>
      <c r="I17" s="116"/>
      <c r="J17" s="116"/>
      <c r="K17" s="116"/>
      <c r="L17" s="116"/>
      <c r="M17" s="116"/>
      <c r="N17" s="117"/>
    </row>
    <row r="18" spans="1:14" ht="12.75">
      <c r="A18" s="637"/>
      <c r="B18" s="678" t="s">
        <v>104</v>
      </c>
      <c r="C18" s="679">
        <v>4</v>
      </c>
      <c r="D18" s="680"/>
      <c r="E18" s="118"/>
      <c r="F18" s="118"/>
      <c r="G18" s="118"/>
      <c r="H18" s="118"/>
      <c r="I18" s="118"/>
      <c r="J18" s="118"/>
      <c r="K18" s="118"/>
      <c r="L18" s="118"/>
      <c r="M18" s="118"/>
      <c r="N18" s="119"/>
    </row>
    <row r="19" spans="1:14" ht="12.75">
      <c r="A19" s="637"/>
      <c r="B19" s="678"/>
      <c r="C19" s="679"/>
      <c r="D19" s="681"/>
      <c r="E19" s="118"/>
      <c r="F19" s="118"/>
      <c r="G19" s="118"/>
      <c r="H19" s="118"/>
      <c r="I19" s="118"/>
      <c r="J19" s="118"/>
      <c r="K19" s="118"/>
      <c r="L19" s="118"/>
      <c r="M19" s="118"/>
      <c r="N19" s="119"/>
    </row>
    <row r="20" spans="1:14" ht="12.75">
      <c r="A20" s="638"/>
      <c r="B20" s="639"/>
      <c r="C20" s="639"/>
      <c r="D20" s="639"/>
      <c r="E20" s="639"/>
      <c r="F20" s="639"/>
      <c r="G20" s="639"/>
      <c r="H20" s="639"/>
      <c r="I20" s="639"/>
      <c r="J20" s="639"/>
      <c r="K20" s="639"/>
      <c r="L20" s="639"/>
      <c r="M20" s="639"/>
      <c r="N20" s="640"/>
    </row>
    <row r="21" spans="1:14" ht="12.75">
      <c r="A21" s="682">
        <v>1</v>
      </c>
      <c r="B21" s="641" t="s">
        <v>273</v>
      </c>
      <c r="C21" s="642"/>
      <c r="D21" s="643" t="s">
        <v>105</v>
      </c>
      <c r="E21" s="644" t="s">
        <v>22</v>
      </c>
      <c r="F21" s="645"/>
      <c r="G21" s="645"/>
      <c r="H21" s="645"/>
      <c r="I21" s="645"/>
      <c r="J21" s="645"/>
      <c r="K21" s="645"/>
      <c r="L21" s="645"/>
      <c r="M21" s="645"/>
      <c r="N21" s="646"/>
    </row>
    <row r="22" spans="1:14" ht="12.75">
      <c r="A22" s="683"/>
      <c r="B22" s="684"/>
      <c r="C22" s="642"/>
      <c r="D22" s="643"/>
      <c r="E22" s="647">
        <v>3284</v>
      </c>
      <c r="F22" s="648" t="s">
        <v>106</v>
      </c>
      <c r="G22" s="649">
        <f>C18</f>
        <v>4</v>
      </c>
      <c r="H22" s="648" t="s">
        <v>106</v>
      </c>
      <c r="I22" s="648">
        <f>C26</f>
        <v>1.1</v>
      </c>
      <c r="J22" s="648" t="s">
        <v>106</v>
      </c>
      <c r="K22" s="115">
        <f>C25</f>
        <v>1.55</v>
      </c>
      <c r="L22" s="648"/>
      <c r="M22" s="115"/>
      <c r="N22" s="125">
        <f>E22*I22*G22*K22</f>
        <v>22396.88</v>
      </c>
    </row>
    <row r="23" spans="1:14" ht="12.75">
      <c r="A23" s="683"/>
      <c r="B23" s="684"/>
      <c r="C23" s="642"/>
      <c r="D23" s="643"/>
      <c r="E23" s="650"/>
      <c r="F23" s="651"/>
      <c r="G23" s="651"/>
      <c r="H23" s="651"/>
      <c r="I23" s="651"/>
      <c r="J23" s="651"/>
      <c r="K23" s="651"/>
      <c r="L23" s="651"/>
      <c r="M23" s="651"/>
      <c r="N23" s="652"/>
    </row>
    <row r="24" spans="1:14" ht="12.75">
      <c r="A24" s="683"/>
      <c r="B24" s="685" t="s">
        <v>107</v>
      </c>
      <c r="C24" s="642"/>
      <c r="D24" s="643"/>
      <c r="E24" s="647"/>
      <c r="F24" s="648"/>
      <c r="G24" s="648"/>
      <c r="H24" s="648"/>
      <c r="I24" s="648"/>
      <c r="J24" s="648"/>
      <c r="K24" s="648"/>
      <c r="L24" s="648"/>
      <c r="M24" s="648"/>
      <c r="N24" s="652"/>
    </row>
    <row r="25" spans="1:14" ht="12.75">
      <c r="A25" s="683"/>
      <c r="B25" s="685" t="s">
        <v>108</v>
      </c>
      <c r="C25" s="642">
        <v>1.55</v>
      </c>
      <c r="D25" s="643"/>
      <c r="E25" s="653" t="s">
        <v>23</v>
      </c>
      <c r="F25" s="654"/>
      <c r="G25" s="654"/>
      <c r="H25" s="654"/>
      <c r="I25" s="654"/>
      <c r="J25" s="654"/>
      <c r="K25" s="654"/>
      <c r="L25" s="654"/>
      <c r="M25" s="654"/>
      <c r="N25" s="652"/>
    </row>
    <row r="26" spans="1:14" ht="12.75">
      <c r="A26" s="683"/>
      <c r="B26" s="685" t="s">
        <v>109</v>
      </c>
      <c r="C26" s="642">
        <v>1.1</v>
      </c>
      <c r="D26" s="643"/>
      <c r="E26" s="647">
        <v>1067</v>
      </c>
      <c r="F26" s="648" t="s">
        <v>106</v>
      </c>
      <c r="G26" s="649">
        <f>G22</f>
        <v>4</v>
      </c>
      <c r="H26" s="648" t="s">
        <v>106</v>
      </c>
      <c r="I26" s="648">
        <f>C27</f>
        <v>1.2</v>
      </c>
      <c r="J26" s="648"/>
      <c r="K26" s="648"/>
      <c r="L26" s="648"/>
      <c r="M26" s="648"/>
      <c r="N26" s="125">
        <f>E26*I26*G26</f>
        <v>5121.6</v>
      </c>
    </row>
    <row r="27" spans="1:14" ht="12.75">
      <c r="A27" s="683"/>
      <c r="B27" s="685" t="s">
        <v>110</v>
      </c>
      <c r="C27" s="642">
        <v>1.2</v>
      </c>
      <c r="D27" s="643"/>
      <c r="E27" s="647"/>
      <c r="F27" s="648"/>
      <c r="G27" s="649"/>
      <c r="H27" s="648"/>
      <c r="I27" s="648"/>
      <c r="J27" s="648"/>
      <c r="K27" s="648"/>
      <c r="L27" s="648"/>
      <c r="M27" s="648"/>
      <c r="N27" s="125"/>
    </row>
    <row r="28" spans="1:14" ht="12.75">
      <c r="A28" s="683"/>
      <c r="B28" s="655"/>
      <c r="C28" s="642"/>
      <c r="D28" s="643"/>
      <c r="E28" s="647"/>
      <c r="F28" s="648"/>
      <c r="G28" s="648"/>
      <c r="H28" s="648"/>
      <c r="I28" s="648"/>
      <c r="J28" s="648"/>
      <c r="K28" s="648"/>
      <c r="L28" s="648"/>
      <c r="M28" s="648"/>
      <c r="N28" s="652"/>
    </row>
    <row r="29" spans="1:14" ht="12.75">
      <c r="A29" s="135"/>
      <c r="B29" s="656"/>
      <c r="C29" s="656"/>
      <c r="D29" s="657"/>
      <c r="E29" s="120"/>
      <c r="F29" s="120"/>
      <c r="G29" s="120"/>
      <c r="H29" s="120"/>
      <c r="I29" s="120"/>
      <c r="J29" s="120"/>
      <c r="K29" s="120"/>
      <c r="L29" s="120"/>
      <c r="M29" s="121" t="s">
        <v>111</v>
      </c>
      <c r="N29" s="122">
        <f>N30+N31</f>
        <v>27518.48</v>
      </c>
    </row>
    <row r="30" spans="1:14" ht="12.75">
      <c r="A30" s="658"/>
      <c r="B30" s="659"/>
      <c r="C30" s="659"/>
      <c r="D30" s="660"/>
      <c r="E30" s="123"/>
      <c r="F30" s="123"/>
      <c r="G30" s="123"/>
      <c r="H30" s="123"/>
      <c r="I30" s="123"/>
      <c r="J30" s="123"/>
      <c r="K30" s="123"/>
      <c r="L30" s="123"/>
      <c r="M30" s="124" t="s">
        <v>112</v>
      </c>
      <c r="N30" s="125">
        <f>N22</f>
        <v>22396.88</v>
      </c>
    </row>
    <row r="31" spans="1:14" ht="12.75">
      <c r="A31" s="661"/>
      <c r="B31" s="662"/>
      <c r="C31" s="662"/>
      <c r="D31" s="663"/>
      <c r="E31" s="126"/>
      <c r="F31" s="126"/>
      <c r="G31" s="126"/>
      <c r="H31" s="126"/>
      <c r="I31" s="126"/>
      <c r="J31" s="126"/>
      <c r="K31" s="126"/>
      <c r="L31" s="126"/>
      <c r="M31" s="127" t="s">
        <v>113</v>
      </c>
      <c r="N31" s="128">
        <f>N26</f>
        <v>5121.6</v>
      </c>
    </row>
    <row r="32" spans="1:14" ht="38.25">
      <c r="A32" s="661">
        <v>4</v>
      </c>
      <c r="B32" s="129" t="s">
        <v>114</v>
      </c>
      <c r="C32" s="664">
        <v>0.0375</v>
      </c>
      <c r="D32" s="129" t="s">
        <v>115</v>
      </c>
      <c r="E32" s="130">
        <v>3.75</v>
      </c>
      <c r="F32" s="131" t="s">
        <v>116</v>
      </c>
      <c r="G32" s="131" t="s">
        <v>117</v>
      </c>
      <c r="H32" s="431">
        <f>N30</f>
        <v>22397</v>
      </c>
      <c r="I32" s="432"/>
      <c r="J32" s="131"/>
      <c r="K32" s="132"/>
      <c r="L32" s="131"/>
      <c r="M32" s="133"/>
      <c r="N32" s="134">
        <f>(H32)*E32/100</f>
        <v>839.89</v>
      </c>
    </row>
    <row r="33" spans="1:14" ht="38.25">
      <c r="A33" s="661">
        <v>5</v>
      </c>
      <c r="B33" s="665" t="s">
        <v>118</v>
      </c>
      <c r="C33" s="666">
        <v>0.06</v>
      </c>
      <c r="D33" s="667" t="s">
        <v>342</v>
      </c>
      <c r="E33" s="135">
        <v>6</v>
      </c>
      <c r="F33" s="120" t="s">
        <v>116</v>
      </c>
      <c r="G33" s="120" t="s">
        <v>117</v>
      </c>
      <c r="H33" s="431">
        <f>N30+N32</f>
        <v>23237</v>
      </c>
      <c r="I33" s="432"/>
      <c r="J33" s="120"/>
      <c r="K33" s="136"/>
      <c r="L33" s="120"/>
      <c r="M33" s="136"/>
      <c r="N33" s="134">
        <f>(H33)*E33/100</f>
        <v>1394.22</v>
      </c>
    </row>
    <row r="34" spans="1:14" ht="12.75">
      <c r="A34" s="130"/>
      <c r="B34" s="668"/>
      <c r="C34" s="668"/>
      <c r="D34" s="669"/>
      <c r="E34" s="120"/>
      <c r="F34" s="120"/>
      <c r="G34" s="120"/>
      <c r="H34" s="120"/>
      <c r="I34" s="120"/>
      <c r="J34" s="120"/>
      <c r="K34" s="120"/>
      <c r="L34" s="120"/>
      <c r="M34" s="121" t="s">
        <v>119</v>
      </c>
      <c r="N34" s="134">
        <f>N29+N32+N33</f>
        <v>29752.59</v>
      </c>
    </row>
    <row r="35" spans="1:14" ht="63.75">
      <c r="A35" s="686">
        <v>6</v>
      </c>
      <c r="B35" s="670" t="s">
        <v>120</v>
      </c>
      <c r="C35" s="671"/>
      <c r="D35" s="672" t="s">
        <v>121</v>
      </c>
      <c r="E35" s="433">
        <f>N34</f>
        <v>29752.59</v>
      </c>
      <c r="F35" s="434"/>
      <c r="G35" s="435"/>
      <c r="H35" s="120"/>
      <c r="I35" s="120"/>
      <c r="J35" s="120" t="s">
        <v>106</v>
      </c>
      <c r="K35" s="138">
        <v>3.9</v>
      </c>
      <c r="L35" s="120"/>
      <c r="M35" s="120"/>
      <c r="N35" s="134">
        <f>E35*K35</f>
        <v>116035.1</v>
      </c>
    </row>
    <row r="36" spans="1:14" ht="12.75">
      <c r="A36" s="673"/>
      <c r="B36" s="674"/>
      <c r="C36" s="674"/>
      <c r="D36" s="674"/>
      <c r="E36" s="674"/>
      <c r="F36" s="139"/>
      <c r="G36" s="137"/>
      <c r="H36" s="131"/>
      <c r="I36" s="427" t="s">
        <v>122</v>
      </c>
      <c r="J36" s="427"/>
      <c r="K36" s="427"/>
      <c r="L36" s="427"/>
      <c r="M36" s="428"/>
      <c r="N36" s="134">
        <f>N35</f>
        <v>116035.1</v>
      </c>
    </row>
    <row r="37" spans="1:14" ht="12.75">
      <c r="A37" s="687"/>
      <c r="B37" s="140" t="s">
        <v>21</v>
      </c>
      <c r="C37" s="141"/>
      <c r="D37" s="688">
        <v>1</v>
      </c>
      <c r="E37" s="689"/>
      <c r="F37" s="690"/>
      <c r="G37" s="690"/>
      <c r="H37" s="142"/>
      <c r="I37" s="142"/>
      <c r="J37" s="142"/>
      <c r="K37" s="142"/>
      <c r="L37" s="142"/>
      <c r="M37" s="143"/>
      <c r="N37" s="144">
        <f>ROUND(N36*D37,2)</f>
        <v>116035.1</v>
      </c>
    </row>
    <row r="38" spans="1:14" ht="12.75">
      <c r="A38" s="673"/>
      <c r="B38" s="674"/>
      <c r="C38" s="674"/>
      <c r="D38" s="674"/>
      <c r="E38" s="674"/>
      <c r="F38" s="139"/>
      <c r="G38" s="137"/>
      <c r="H38" s="131"/>
      <c r="I38" s="427" t="s">
        <v>123</v>
      </c>
      <c r="J38" s="427"/>
      <c r="K38" s="427"/>
      <c r="L38" s="427"/>
      <c r="M38" s="428"/>
      <c r="N38" s="134">
        <f>N37*18%</f>
        <v>20886.32</v>
      </c>
    </row>
    <row r="39" spans="1:14" ht="12.75">
      <c r="A39" s="673"/>
      <c r="B39" s="674"/>
      <c r="C39" s="674"/>
      <c r="D39" s="674"/>
      <c r="E39" s="674"/>
      <c r="F39" s="139"/>
      <c r="G39" s="429" t="s">
        <v>124</v>
      </c>
      <c r="H39" s="429"/>
      <c r="I39" s="429"/>
      <c r="J39" s="429"/>
      <c r="K39" s="429"/>
      <c r="L39" s="429"/>
      <c r="M39" s="430"/>
      <c r="N39" s="134">
        <f>N37+N38</f>
        <v>136921.42</v>
      </c>
    </row>
    <row r="40" spans="1:14" ht="12.75">
      <c r="A40" s="691"/>
      <c r="B40" s="145" t="s">
        <v>272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6"/>
      <c r="N40" s="147">
        <f>N39</f>
        <v>136921.42</v>
      </c>
    </row>
    <row r="42" spans="2:11" ht="12.75">
      <c r="B42" s="3" t="s">
        <v>325</v>
      </c>
      <c r="K42" s="3" t="s">
        <v>326</v>
      </c>
    </row>
    <row r="44" spans="2:4" ht="12.75">
      <c r="B44" s="632"/>
      <c r="C44" s="633"/>
      <c r="D44" s="633"/>
    </row>
    <row r="45" spans="2:4" ht="12.75">
      <c r="B45" s="633"/>
      <c r="C45" s="633"/>
      <c r="D45" s="633"/>
    </row>
    <row r="46" spans="2:4" ht="12.75">
      <c r="B46" s="633"/>
      <c r="C46" s="633"/>
      <c r="D46" s="633"/>
    </row>
    <row r="47" spans="2:4" ht="12.75">
      <c r="B47" s="634"/>
      <c r="C47" s="633"/>
      <c r="D47" s="633"/>
    </row>
  </sheetData>
  <sheetProtection/>
  <mergeCells count="35">
    <mergeCell ref="A8:N8"/>
    <mergeCell ref="E6:F6"/>
    <mergeCell ref="F1:N1"/>
    <mergeCell ref="F2:N2"/>
    <mergeCell ref="F3:N3"/>
    <mergeCell ref="F4:N4"/>
    <mergeCell ref="F5:N5"/>
    <mergeCell ref="A7:N7"/>
    <mergeCell ref="A10:V10"/>
    <mergeCell ref="B13:K13"/>
    <mergeCell ref="A14:A15"/>
    <mergeCell ref="B14:B15"/>
    <mergeCell ref="C14:C15"/>
    <mergeCell ref="D14:D15"/>
    <mergeCell ref="E14:M15"/>
    <mergeCell ref="N14:N15"/>
    <mergeCell ref="A11:F11"/>
    <mergeCell ref="A12:F12"/>
    <mergeCell ref="E16:M16"/>
    <mergeCell ref="A20:N20"/>
    <mergeCell ref="A21:A28"/>
    <mergeCell ref="B21:B23"/>
    <mergeCell ref="D21:D28"/>
    <mergeCell ref="E21:M21"/>
    <mergeCell ref="E25:M25"/>
    <mergeCell ref="A38:E38"/>
    <mergeCell ref="I38:M38"/>
    <mergeCell ref="A39:E39"/>
    <mergeCell ref="G39:M39"/>
    <mergeCell ref="H32:I32"/>
    <mergeCell ref="H33:I33"/>
    <mergeCell ref="B35:C35"/>
    <mergeCell ref="E35:G35"/>
    <mergeCell ref="A36:E36"/>
    <mergeCell ref="I36:M36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0"/>
  <sheetViews>
    <sheetView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4.375" style="3" customWidth="1"/>
    <col min="2" max="2" width="39.00390625" style="3" customWidth="1"/>
    <col min="3" max="3" width="14.00390625" style="3" customWidth="1"/>
    <col min="4" max="4" width="19.75390625" style="3" customWidth="1"/>
    <col min="5" max="5" width="5.125" style="3" customWidth="1"/>
    <col min="6" max="6" width="1.75390625" style="3" customWidth="1"/>
    <col min="7" max="7" width="5.125" style="3" customWidth="1"/>
    <col min="8" max="8" width="2.125" style="3" customWidth="1"/>
    <col min="9" max="9" width="6.25390625" style="3" customWidth="1"/>
    <col min="10" max="10" width="1.75390625" style="3" customWidth="1"/>
    <col min="11" max="11" width="3.125" style="3" customWidth="1"/>
    <col min="12" max="12" width="1.37890625" style="3" customWidth="1"/>
    <col min="13" max="13" width="11.125" style="3" customWidth="1"/>
    <col min="14" max="14" width="14.00390625" style="3" customWidth="1"/>
    <col min="15" max="16384" width="9.125" style="3" customWidth="1"/>
  </cols>
  <sheetData>
    <row r="1" spans="6:22" ht="17.25" customHeight="1">
      <c r="F1" s="444" t="s">
        <v>317</v>
      </c>
      <c r="G1" s="444"/>
      <c r="H1" s="444"/>
      <c r="I1" s="444"/>
      <c r="J1" s="444"/>
      <c r="K1" s="444"/>
      <c r="L1" s="444"/>
      <c r="M1" s="444"/>
      <c r="N1" s="444"/>
      <c r="O1" s="396"/>
      <c r="P1" s="396"/>
      <c r="Q1" s="396"/>
      <c r="R1" s="396"/>
      <c r="S1" s="396"/>
      <c r="T1" s="396"/>
      <c r="U1" s="396"/>
      <c r="V1" s="396"/>
    </row>
    <row r="2" spans="6:22" ht="13.5" customHeight="1">
      <c r="F2" s="414" t="s">
        <v>318</v>
      </c>
      <c r="G2" s="414"/>
      <c r="H2" s="414"/>
      <c r="I2" s="414"/>
      <c r="J2" s="414"/>
      <c r="K2" s="414"/>
      <c r="L2" s="414"/>
      <c r="M2" s="414"/>
      <c r="N2" s="414"/>
      <c r="O2" s="76"/>
      <c r="P2" s="76"/>
      <c r="Q2" s="76"/>
      <c r="R2" s="76"/>
      <c r="S2" s="76"/>
      <c r="T2" s="76"/>
      <c r="U2" s="76"/>
      <c r="V2" s="76"/>
    </row>
    <row r="3" spans="6:22" ht="15" customHeight="1">
      <c r="F3" s="414" t="s">
        <v>319</v>
      </c>
      <c r="G3" s="414"/>
      <c r="H3" s="414"/>
      <c r="I3" s="414"/>
      <c r="J3" s="414"/>
      <c r="K3" s="414"/>
      <c r="L3" s="414"/>
      <c r="M3" s="414"/>
      <c r="N3" s="414"/>
      <c r="O3" s="76"/>
      <c r="P3" s="76"/>
      <c r="Q3" s="76"/>
      <c r="R3" s="76"/>
      <c r="S3" s="76"/>
      <c r="T3" s="76"/>
      <c r="U3" s="76"/>
      <c r="V3" s="76"/>
    </row>
    <row r="4" spans="6:22" ht="21.75" customHeight="1">
      <c r="F4" s="414" t="s">
        <v>320</v>
      </c>
      <c r="G4" s="414"/>
      <c r="H4" s="414"/>
      <c r="I4" s="414"/>
      <c r="J4" s="414"/>
      <c r="K4" s="414"/>
      <c r="L4" s="414"/>
      <c r="M4" s="414"/>
      <c r="N4" s="414"/>
      <c r="O4" s="76"/>
      <c r="P4" s="76"/>
      <c r="Q4" s="76"/>
      <c r="R4" s="76"/>
      <c r="S4" s="76"/>
      <c r="T4" s="76"/>
      <c r="U4" s="76"/>
      <c r="V4" s="76"/>
    </row>
    <row r="5" spans="6:22" ht="19.5" customHeight="1">
      <c r="F5" s="414" t="s">
        <v>321</v>
      </c>
      <c r="G5" s="414"/>
      <c r="H5" s="414"/>
      <c r="I5" s="414"/>
      <c r="J5" s="414"/>
      <c r="K5" s="414"/>
      <c r="L5" s="414"/>
      <c r="M5" s="414"/>
      <c r="N5" s="414"/>
      <c r="O5" s="76"/>
      <c r="P5" s="76"/>
      <c r="Q5" s="76"/>
      <c r="R5" s="76"/>
      <c r="S5" s="76"/>
      <c r="T5" s="76"/>
      <c r="U5" s="76"/>
      <c r="V5" s="76"/>
    </row>
    <row r="6" spans="5:6" ht="12.75">
      <c r="E6" s="414"/>
      <c r="F6" s="414"/>
    </row>
    <row r="7" spans="1:22" ht="12.75">
      <c r="A7" s="411" t="s">
        <v>330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395"/>
      <c r="P7" s="395"/>
      <c r="Q7" s="395"/>
      <c r="R7" s="395"/>
      <c r="S7" s="395"/>
      <c r="T7" s="395"/>
      <c r="U7" s="395"/>
      <c r="V7" s="395"/>
    </row>
    <row r="8" spans="1:22" ht="12.75">
      <c r="A8" s="422" t="s">
        <v>329</v>
      </c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398"/>
      <c r="P8" s="398"/>
      <c r="Q8" s="398"/>
      <c r="R8" s="398"/>
      <c r="S8" s="398"/>
      <c r="T8" s="398"/>
      <c r="U8" s="398"/>
      <c r="V8" s="398"/>
    </row>
    <row r="9" spans="1:6" ht="12.75">
      <c r="A9" s="389"/>
      <c r="B9" s="389"/>
      <c r="C9" s="389"/>
      <c r="D9" s="389"/>
      <c r="E9" s="389"/>
      <c r="F9" s="389"/>
    </row>
    <row r="10" spans="1:22" ht="15.75" customHeight="1">
      <c r="A10" s="413" t="s">
        <v>324</v>
      </c>
      <c r="B10" s="413"/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  <c r="V10" s="413"/>
    </row>
    <row r="11" spans="1:10" ht="13.5" customHeight="1">
      <c r="A11" s="413" t="s">
        <v>322</v>
      </c>
      <c r="B11" s="413"/>
      <c r="C11" s="413"/>
      <c r="D11" s="413"/>
      <c r="E11" s="413"/>
      <c r="F11" s="413"/>
      <c r="G11" s="17"/>
      <c r="H11" s="16"/>
      <c r="I11" s="17"/>
      <c r="J11" s="16"/>
    </row>
    <row r="12" spans="1:10" ht="13.5" customHeight="1">
      <c r="A12" s="413" t="s">
        <v>323</v>
      </c>
      <c r="B12" s="413"/>
      <c r="C12" s="413"/>
      <c r="D12" s="413"/>
      <c r="E12" s="413"/>
      <c r="F12" s="413"/>
      <c r="G12" s="17"/>
      <c r="H12" s="16"/>
      <c r="I12" s="17"/>
      <c r="J12" s="16"/>
    </row>
    <row r="13" spans="1:14" ht="12.75">
      <c r="A13" s="675" t="s">
        <v>88</v>
      </c>
      <c r="B13" s="676" t="s">
        <v>96</v>
      </c>
      <c r="C13" s="676"/>
      <c r="D13" s="676"/>
      <c r="E13" s="676"/>
      <c r="F13" s="676"/>
      <c r="G13" s="676"/>
      <c r="H13" s="676"/>
      <c r="I13" s="676"/>
      <c r="J13" s="676"/>
      <c r="K13" s="676"/>
      <c r="L13" s="675"/>
      <c r="M13" s="675"/>
      <c r="N13" s="675"/>
    </row>
    <row r="14" spans="1:14" ht="12.75">
      <c r="A14" s="463" t="s">
        <v>28</v>
      </c>
      <c r="B14" s="463" t="s">
        <v>98</v>
      </c>
      <c r="C14" s="463" t="s">
        <v>125</v>
      </c>
      <c r="D14" s="463" t="s">
        <v>126</v>
      </c>
      <c r="E14" s="469"/>
      <c r="F14" s="470"/>
      <c r="G14" s="470"/>
      <c r="H14" s="470"/>
      <c r="I14" s="470"/>
      <c r="J14" s="470"/>
      <c r="K14" s="470"/>
      <c r="L14" s="471"/>
      <c r="M14" s="463" t="s">
        <v>31</v>
      </c>
      <c r="N14" s="463"/>
    </row>
    <row r="15" spans="1:14" ht="12.75">
      <c r="A15" s="463"/>
      <c r="B15" s="463"/>
      <c r="C15" s="463"/>
      <c r="D15" s="463"/>
      <c r="E15" s="472"/>
      <c r="F15" s="473"/>
      <c r="G15" s="473"/>
      <c r="H15" s="473"/>
      <c r="I15" s="473"/>
      <c r="J15" s="473"/>
      <c r="K15" s="473"/>
      <c r="L15" s="474"/>
      <c r="M15" s="463">
        <v>44.19</v>
      </c>
      <c r="N15" s="463"/>
    </row>
    <row r="16" spans="1:14" ht="12.75">
      <c r="A16" s="463"/>
      <c r="B16" s="463"/>
      <c r="C16" s="463"/>
      <c r="D16" s="463"/>
      <c r="E16" s="475"/>
      <c r="F16" s="476"/>
      <c r="G16" s="476"/>
      <c r="H16" s="476"/>
      <c r="I16" s="476"/>
      <c r="J16" s="476"/>
      <c r="K16" s="476"/>
      <c r="L16" s="477"/>
      <c r="M16" s="400" t="s">
        <v>127</v>
      </c>
      <c r="N16" s="400" t="s">
        <v>128</v>
      </c>
    </row>
    <row r="17" spans="1:14" ht="12.75">
      <c r="A17" s="148"/>
      <c r="B17" s="463" t="s">
        <v>129</v>
      </c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463"/>
      <c r="N17" s="463"/>
    </row>
    <row r="18" spans="1:14" ht="12.75">
      <c r="A18" s="465" t="s">
        <v>130</v>
      </c>
      <c r="B18" s="466"/>
      <c r="C18" s="466"/>
      <c r="D18" s="466"/>
      <c r="E18" s="466"/>
      <c r="F18" s="466"/>
      <c r="G18" s="466"/>
      <c r="H18" s="466"/>
      <c r="I18" s="466"/>
      <c r="J18" s="466"/>
      <c r="K18" s="466"/>
      <c r="L18" s="466"/>
      <c r="M18" s="466"/>
      <c r="N18" s="466"/>
    </row>
    <row r="19" spans="1:14" ht="12.75">
      <c r="A19" s="149"/>
      <c r="B19" s="443" t="s">
        <v>25</v>
      </c>
      <c r="C19" s="443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1"/>
    </row>
    <row r="20" spans="1:14" ht="12.75">
      <c r="A20" s="152"/>
      <c r="B20" s="153" t="s">
        <v>131</v>
      </c>
      <c r="C20" s="154">
        <v>1</v>
      </c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5"/>
    </row>
    <row r="21" spans="1:14" ht="12.75">
      <c r="A21" s="152"/>
      <c r="B21" s="153" t="s">
        <v>132</v>
      </c>
      <c r="C21" s="156">
        <f>M15</f>
        <v>44.19</v>
      </c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5"/>
    </row>
    <row r="22" spans="1:14" ht="12.75">
      <c r="A22" s="157"/>
      <c r="B22" s="153" t="s">
        <v>133</v>
      </c>
      <c r="C22" s="156">
        <v>6</v>
      </c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5"/>
    </row>
    <row r="23" spans="1:14" ht="12.75">
      <c r="A23" s="157"/>
      <c r="B23" s="158" t="s">
        <v>134</v>
      </c>
      <c r="C23" s="156">
        <v>10</v>
      </c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5"/>
    </row>
    <row r="24" spans="1:14" ht="12.75">
      <c r="A24" s="157"/>
      <c r="B24" s="159" t="s">
        <v>135</v>
      </c>
      <c r="C24" s="156">
        <f>C22</f>
        <v>6</v>
      </c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5"/>
    </row>
    <row r="25" spans="1:14" ht="12.75">
      <c r="A25" s="157"/>
      <c r="B25" s="160" t="s">
        <v>136</v>
      </c>
      <c r="C25" s="156">
        <f>C22*C23</f>
        <v>60</v>
      </c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61"/>
    </row>
    <row r="26" spans="1:14" ht="12.75">
      <c r="A26" s="467" t="s">
        <v>137</v>
      </c>
      <c r="B26" s="468"/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</row>
    <row r="27" spans="1:14" ht="63.75">
      <c r="A27" s="162">
        <v>1</v>
      </c>
      <c r="B27" s="403" t="s">
        <v>138</v>
      </c>
      <c r="C27" s="163" t="s">
        <v>139</v>
      </c>
      <c r="D27" s="164"/>
      <c r="E27" s="162">
        <f>18.4</f>
        <v>18.4</v>
      </c>
      <c r="F27" s="165" t="s">
        <v>12</v>
      </c>
      <c r="G27" s="165">
        <f>C24</f>
        <v>6</v>
      </c>
      <c r="H27" s="165" t="s">
        <v>12</v>
      </c>
      <c r="I27" s="165">
        <v>0.5</v>
      </c>
      <c r="J27" s="165"/>
      <c r="K27" s="165"/>
      <c r="L27" s="166"/>
      <c r="M27" s="165">
        <f>E27*0.5*C24</f>
        <v>55.2</v>
      </c>
      <c r="N27" s="164">
        <f>ROUND((M27*$M$15),2)</f>
        <v>2439.29</v>
      </c>
    </row>
    <row r="28" spans="1:14" ht="12.75">
      <c r="A28" s="167"/>
      <c r="B28" s="168">
        <f>C24</f>
        <v>6</v>
      </c>
      <c r="C28" s="169"/>
      <c r="D28" s="170"/>
      <c r="E28" s="167"/>
      <c r="F28" s="171"/>
      <c r="G28" s="171"/>
      <c r="H28" s="171"/>
      <c r="I28" s="171"/>
      <c r="J28" s="171"/>
      <c r="K28" s="171"/>
      <c r="L28" s="172"/>
      <c r="M28" s="171"/>
      <c r="N28" s="170"/>
    </row>
    <row r="29" spans="1:14" ht="25.5">
      <c r="A29" s="170">
        <v>2</v>
      </c>
      <c r="B29" s="168" t="s">
        <v>140</v>
      </c>
      <c r="C29" s="168" t="s">
        <v>141</v>
      </c>
      <c r="D29" s="167"/>
      <c r="E29" s="173">
        <f>E27</f>
        <v>18.4</v>
      </c>
      <c r="F29" s="174" t="s">
        <v>12</v>
      </c>
      <c r="G29" s="174">
        <f>C24</f>
        <v>6</v>
      </c>
      <c r="H29" s="174"/>
      <c r="I29" s="174"/>
      <c r="J29" s="174"/>
      <c r="K29" s="174"/>
      <c r="L29" s="175"/>
      <c r="M29" s="172">
        <f>E29*G29</f>
        <v>110.4</v>
      </c>
      <c r="N29" s="170">
        <f>ROUND((M29*$M$15),2)</f>
        <v>4878.58</v>
      </c>
    </row>
    <row r="30" spans="1:14" ht="25.5">
      <c r="A30" s="164">
        <v>3</v>
      </c>
      <c r="B30" s="176" t="s">
        <v>142</v>
      </c>
      <c r="C30" s="157" t="s">
        <v>143</v>
      </c>
      <c r="D30" s="177"/>
      <c r="E30" s="177">
        <f>C25</f>
        <v>60</v>
      </c>
      <c r="F30" s="178" t="s">
        <v>12</v>
      </c>
      <c r="G30" s="178">
        <v>38.4</v>
      </c>
      <c r="H30" s="178"/>
      <c r="I30" s="178"/>
      <c r="J30" s="178"/>
      <c r="K30" s="178"/>
      <c r="L30" s="179"/>
      <c r="M30" s="180">
        <f>C25*G30</f>
        <v>2304</v>
      </c>
      <c r="N30" s="164">
        <f>ROUND((M30*$M$15),2)</f>
        <v>101813.76</v>
      </c>
    </row>
    <row r="31" spans="1:14" ht="25.5">
      <c r="A31" s="162">
        <v>4</v>
      </c>
      <c r="B31" s="176" t="s">
        <v>144</v>
      </c>
      <c r="C31" s="178" t="s">
        <v>145</v>
      </c>
      <c r="D31" s="157"/>
      <c r="E31" s="178">
        <f>22.9</f>
        <v>22.9</v>
      </c>
      <c r="F31" s="178" t="s">
        <v>12</v>
      </c>
      <c r="G31" s="178">
        <f>B32</f>
        <v>30</v>
      </c>
      <c r="H31" s="178"/>
      <c r="I31" s="178"/>
      <c r="J31" s="178"/>
      <c r="K31" s="178"/>
      <c r="L31" s="178"/>
      <c r="M31" s="181">
        <f>22.9*35</f>
        <v>801.5</v>
      </c>
      <c r="N31" s="166">
        <f>ROUND((M31*$M$15),2)</f>
        <v>35418.29</v>
      </c>
    </row>
    <row r="32" spans="1:14" ht="12.75">
      <c r="A32" s="167"/>
      <c r="B32" s="182">
        <f>ROUND(C25/2,0)</f>
        <v>30</v>
      </c>
      <c r="C32" s="183"/>
      <c r="D32" s="149"/>
      <c r="E32" s="183"/>
      <c r="F32" s="183"/>
      <c r="G32" s="183"/>
      <c r="H32" s="183"/>
      <c r="I32" s="183"/>
      <c r="J32" s="183"/>
      <c r="K32" s="183"/>
      <c r="L32" s="183"/>
      <c r="M32" s="184"/>
      <c r="N32" s="172"/>
    </row>
    <row r="33" spans="1:14" ht="12.75">
      <c r="A33" s="170">
        <v>6</v>
      </c>
      <c r="B33" s="445" t="s">
        <v>146</v>
      </c>
      <c r="C33" s="445"/>
      <c r="D33" s="446"/>
      <c r="E33" s="404"/>
      <c r="F33" s="406"/>
      <c r="G33" s="406"/>
      <c r="H33" s="406"/>
      <c r="I33" s="406"/>
      <c r="J33" s="406"/>
      <c r="K33" s="406"/>
      <c r="L33" s="185"/>
      <c r="M33" s="186">
        <f>SUM(M27:M32)</f>
        <v>3271.1</v>
      </c>
      <c r="N33" s="187">
        <f>SUM(N27:N32)</f>
        <v>144549.92</v>
      </c>
    </row>
    <row r="34" spans="1:14" ht="25.5">
      <c r="A34" s="148">
        <v>7</v>
      </c>
      <c r="B34" s="188" t="s">
        <v>147</v>
      </c>
      <c r="C34" s="149" t="s">
        <v>148</v>
      </c>
      <c r="D34" s="189" t="s">
        <v>149</v>
      </c>
      <c r="E34" s="457">
        <f>M33</f>
        <v>3271.1</v>
      </c>
      <c r="F34" s="458"/>
      <c r="G34" s="458"/>
      <c r="H34" s="190" t="s">
        <v>12</v>
      </c>
      <c r="I34" s="190">
        <v>0.875</v>
      </c>
      <c r="J34" s="190"/>
      <c r="K34" s="190"/>
      <c r="L34" s="191"/>
      <c r="M34" s="192">
        <f>M33*I34</f>
        <v>2862.21</v>
      </c>
      <c r="N34" s="149">
        <f>ROUND((M34*$M$15),2)</f>
        <v>126481.06</v>
      </c>
    </row>
    <row r="35" spans="1:14" ht="38.25">
      <c r="A35" s="148">
        <v>8</v>
      </c>
      <c r="B35" s="193" t="s">
        <v>150</v>
      </c>
      <c r="C35" s="194" t="s">
        <v>151</v>
      </c>
      <c r="D35" s="195" t="s">
        <v>152</v>
      </c>
      <c r="E35" s="459">
        <f>M33+M34</f>
        <v>6133.31</v>
      </c>
      <c r="F35" s="460"/>
      <c r="G35" s="460"/>
      <c r="H35" s="196" t="s">
        <v>12</v>
      </c>
      <c r="I35" s="196">
        <v>0.06</v>
      </c>
      <c r="J35" s="196"/>
      <c r="K35" s="196"/>
      <c r="L35" s="197"/>
      <c r="M35" s="198">
        <f>(M33+M34)*0.06</f>
        <v>368</v>
      </c>
      <c r="N35" s="152">
        <f>ROUND((M35*$M$15),2)</f>
        <v>16261.92</v>
      </c>
    </row>
    <row r="36" spans="1:14" ht="12.75">
      <c r="A36" s="148">
        <v>9</v>
      </c>
      <c r="B36" s="461" t="s">
        <v>146</v>
      </c>
      <c r="C36" s="461"/>
      <c r="D36" s="462"/>
      <c r="E36" s="405"/>
      <c r="F36" s="199"/>
      <c r="G36" s="199"/>
      <c r="H36" s="199"/>
      <c r="I36" s="199"/>
      <c r="J36" s="199"/>
      <c r="K36" s="199"/>
      <c r="L36" s="200"/>
      <c r="M36" s="201">
        <f>SUM(M33:M35)</f>
        <v>6501.31</v>
      </c>
      <c r="N36" s="202">
        <f>SUM(N33:N35)</f>
        <v>287292.9</v>
      </c>
    </row>
    <row r="37" spans="1:14" ht="12.75">
      <c r="A37" s="148">
        <v>10</v>
      </c>
      <c r="B37" s="463" t="s">
        <v>153</v>
      </c>
      <c r="C37" s="463"/>
      <c r="D37" s="463"/>
      <c r="E37" s="453"/>
      <c r="F37" s="453"/>
      <c r="G37" s="453"/>
      <c r="H37" s="453"/>
      <c r="I37" s="453"/>
      <c r="J37" s="453"/>
      <c r="K37" s="453"/>
      <c r="L37" s="453"/>
      <c r="M37" s="463"/>
      <c r="N37" s="463"/>
    </row>
    <row r="38" spans="1:14" ht="25.5">
      <c r="A38" s="148">
        <v>11</v>
      </c>
      <c r="B38" s="203" t="s">
        <v>154</v>
      </c>
      <c r="C38" s="152" t="s">
        <v>155</v>
      </c>
      <c r="D38" s="204"/>
      <c r="E38" s="177">
        <f>C24</f>
        <v>6</v>
      </c>
      <c r="F38" s="178" t="s">
        <v>12</v>
      </c>
      <c r="G38" s="464">
        <v>220.2</v>
      </c>
      <c r="H38" s="464"/>
      <c r="I38" s="178"/>
      <c r="J38" s="178"/>
      <c r="K38" s="178"/>
      <c r="L38" s="179"/>
      <c r="M38" s="205">
        <f>E38*G38</f>
        <v>1321.2</v>
      </c>
      <c r="N38" s="148">
        <f>ROUND((M38*$M$15),2)</f>
        <v>58383.83</v>
      </c>
    </row>
    <row r="39" spans="1:14" ht="25.5">
      <c r="A39" s="148">
        <v>12</v>
      </c>
      <c r="B39" s="203" t="s">
        <v>156</v>
      </c>
      <c r="C39" s="152" t="s">
        <v>157</v>
      </c>
      <c r="D39" s="204"/>
      <c r="E39" s="204">
        <f>C24</f>
        <v>6</v>
      </c>
      <c r="F39" s="206" t="s">
        <v>12</v>
      </c>
      <c r="G39" s="206">
        <v>48.4</v>
      </c>
      <c r="H39" s="142"/>
      <c r="I39" s="206"/>
      <c r="J39" s="206"/>
      <c r="K39" s="206"/>
      <c r="L39" s="207"/>
      <c r="M39" s="205">
        <f>E39*G39</f>
        <v>290.4</v>
      </c>
      <c r="N39" s="148">
        <f>ROUND((M39*$M$15),2)</f>
        <v>12832.78</v>
      </c>
    </row>
    <row r="40" spans="1:14" ht="25.5">
      <c r="A40" s="148">
        <v>13</v>
      </c>
      <c r="B40" s="208" t="s">
        <v>158</v>
      </c>
      <c r="C40" s="208" t="s">
        <v>159</v>
      </c>
      <c r="D40" s="209"/>
      <c r="E40" s="210">
        <f>C24</f>
        <v>6</v>
      </c>
      <c r="F40" s="211" t="s">
        <v>12</v>
      </c>
      <c r="G40" s="211">
        <v>25.4</v>
      </c>
      <c r="H40" s="211"/>
      <c r="I40" s="211"/>
      <c r="J40" s="211"/>
      <c r="K40" s="211"/>
      <c r="L40" s="212"/>
      <c r="M40" s="205">
        <f>E40*G40</f>
        <v>152.4</v>
      </c>
      <c r="N40" s="148">
        <f>ROUND((M40*$M$15),2)</f>
        <v>6734.56</v>
      </c>
    </row>
    <row r="41" spans="1:14" ht="12.75">
      <c r="A41" s="148">
        <v>14</v>
      </c>
      <c r="B41" s="445" t="s">
        <v>160</v>
      </c>
      <c r="C41" s="445"/>
      <c r="D41" s="446"/>
      <c r="E41" s="406"/>
      <c r="F41" s="406"/>
      <c r="G41" s="406"/>
      <c r="H41" s="406"/>
      <c r="I41" s="406"/>
      <c r="J41" s="406"/>
      <c r="K41" s="406"/>
      <c r="L41" s="406"/>
      <c r="M41" s="213">
        <f>SUM(M38:M40)</f>
        <v>1764</v>
      </c>
      <c r="N41" s="214">
        <f>SUM(N38:N40)</f>
        <v>77951.17</v>
      </c>
    </row>
    <row r="42" spans="1:14" ht="12.75">
      <c r="A42" s="148">
        <v>15</v>
      </c>
      <c r="B42" s="447" t="s">
        <v>161</v>
      </c>
      <c r="C42" s="447"/>
      <c r="D42" s="447"/>
      <c r="E42" s="448"/>
      <c r="F42" s="448"/>
      <c r="G42" s="448"/>
      <c r="H42" s="448"/>
      <c r="I42" s="448"/>
      <c r="J42" s="448"/>
      <c r="K42" s="448"/>
      <c r="L42" s="448"/>
      <c r="M42" s="447"/>
      <c r="N42" s="447"/>
    </row>
    <row r="43" spans="1:14" ht="25.5">
      <c r="A43" s="148">
        <v>16</v>
      </c>
      <c r="B43" s="402" t="s">
        <v>162</v>
      </c>
      <c r="C43" s="215" t="s">
        <v>163</v>
      </c>
      <c r="D43" s="216"/>
      <c r="E43" s="217">
        <f>C25</f>
        <v>60</v>
      </c>
      <c r="F43" s="218" t="s">
        <v>12</v>
      </c>
      <c r="G43" s="218">
        <v>9</v>
      </c>
      <c r="H43" s="218"/>
      <c r="I43" s="218"/>
      <c r="J43" s="218"/>
      <c r="K43" s="218"/>
      <c r="L43" s="219"/>
      <c r="M43" s="220">
        <f>E43*9</f>
        <v>540</v>
      </c>
      <c r="N43" s="148">
        <f>ROUND((M43*$M$15),2)</f>
        <v>23862.6</v>
      </c>
    </row>
    <row r="44" spans="1:14" ht="12.75">
      <c r="A44" s="148">
        <v>17</v>
      </c>
      <c r="B44" s="401" t="s">
        <v>164</v>
      </c>
      <c r="C44" s="152" t="s">
        <v>165</v>
      </c>
      <c r="D44" s="221"/>
      <c r="E44" s="221">
        <f>E43</f>
        <v>60</v>
      </c>
      <c r="F44" s="222" t="s">
        <v>12</v>
      </c>
      <c r="G44" s="222">
        <v>8.2</v>
      </c>
      <c r="H44" s="222"/>
      <c r="I44" s="222"/>
      <c r="J44" s="222"/>
      <c r="K44" s="222"/>
      <c r="L44" s="223"/>
      <c r="M44" s="224">
        <f>E44*8.2</f>
        <v>492</v>
      </c>
      <c r="N44" s="148">
        <f>ROUND((M44*$M$15),2)</f>
        <v>21741.48</v>
      </c>
    </row>
    <row r="45" spans="1:14" ht="25.5">
      <c r="A45" s="148">
        <v>18</v>
      </c>
      <c r="B45" s="401" t="s">
        <v>166</v>
      </c>
      <c r="C45" s="225" t="s">
        <v>167</v>
      </c>
      <c r="D45" s="226"/>
      <c r="E45" s="450">
        <f>M41</f>
        <v>1764</v>
      </c>
      <c r="F45" s="451"/>
      <c r="G45" s="451"/>
      <c r="H45" s="227" t="s">
        <v>12</v>
      </c>
      <c r="I45" s="227">
        <v>0.2</v>
      </c>
      <c r="J45" s="227"/>
      <c r="K45" s="227"/>
      <c r="L45" s="228"/>
      <c r="M45" s="229">
        <f>E45*I45</f>
        <v>352.8</v>
      </c>
      <c r="N45" s="148">
        <f>ROUND((M45*$M$15),2)</f>
        <v>15590.23</v>
      </c>
    </row>
    <row r="46" spans="1:14" ht="12.75">
      <c r="A46" s="148">
        <v>19</v>
      </c>
      <c r="B46" s="445" t="s">
        <v>168</v>
      </c>
      <c r="C46" s="445"/>
      <c r="D46" s="446"/>
      <c r="E46" s="406"/>
      <c r="F46" s="406"/>
      <c r="G46" s="406"/>
      <c r="H46" s="406"/>
      <c r="I46" s="406"/>
      <c r="J46" s="406"/>
      <c r="K46" s="406"/>
      <c r="L46" s="406"/>
      <c r="M46" s="230">
        <f>SUM(M43:M45)</f>
        <v>1384.8</v>
      </c>
      <c r="N46" s="214">
        <f>SUM(N43:N45)</f>
        <v>61194.31</v>
      </c>
    </row>
    <row r="47" spans="1:14" ht="12.75">
      <c r="A47" s="148">
        <v>20</v>
      </c>
      <c r="B47" s="452" t="s">
        <v>169</v>
      </c>
      <c r="C47" s="452"/>
      <c r="D47" s="452"/>
      <c r="E47" s="453"/>
      <c r="F47" s="453"/>
      <c r="G47" s="453"/>
      <c r="H47" s="453"/>
      <c r="I47" s="453"/>
      <c r="J47" s="453"/>
      <c r="K47" s="453"/>
      <c r="L47" s="453"/>
      <c r="M47" s="452"/>
      <c r="N47" s="452"/>
    </row>
    <row r="48" spans="1:14" ht="25.5">
      <c r="A48" s="148">
        <v>21</v>
      </c>
      <c r="B48" s="401" t="s">
        <v>170</v>
      </c>
      <c r="C48" s="152" t="s">
        <v>171</v>
      </c>
      <c r="D48" s="231" t="s">
        <v>172</v>
      </c>
      <c r="E48" s="231">
        <f>500</f>
        <v>500</v>
      </c>
      <c r="F48" s="232" t="s">
        <v>12</v>
      </c>
      <c r="G48" s="232">
        <v>1.25</v>
      </c>
      <c r="H48" s="232"/>
      <c r="I48" s="232"/>
      <c r="J48" s="232"/>
      <c r="K48" s="232"/>
      <c r="L48" s="233"/>
      <c r="M48" s="234">
        <f>500*1.25</f>
        <v>625</v>
      </c>
      <c r="N48" s="235">
        <f>ROUND((M48*$M$15),2)</f>
        <v>27618.75</v>
      </c>
    </row>
    <row r="49" spans="1:14" ht="12.75">
      <c r="A49" s="148">
        <v>22</v>
      </c>
      <c r="B49" s="401" t="s">
        <v>173</v>
      </c>
      <c r="C49" s="152" t="s">
        <v>174</v>
      </c>
      <c r="D49" s="204" t="s">
        <v>175</v>
      </c>
      <c r="E49" s="454">
        <f>M46</f>
        <v>1384.8</v>
      </c>
      <c r="F49" s="455"/>
      <c r="G49" s="455"/>
      <c r="H49" s="206" t="s">
        <v>12</v>
      </c>
      <c r="I49" s="206">
        <v>0.21</v>
      </c>
      <c r="J49" s="206"/>
      <c r="K49" s="206"/>
      <c r="L49" s="207"/>
      <c r="M49" s="234">
        <f>0.21*M46</f>
        <v>290.81</v>
      </c>
      <c r="N49" s="235">
        <f>ROUND((M49*M15),2)</f>
        <v>12850.89</v>
      </c>
    </row>
    <row r="50" spans="1:14" ht="12.75">
      <c r="A50" s="148">
        <v>23</v>
      </c>
      <c r="B50" s="445" t="s">
        <v>176</v>
      </c>
      <c r="C50" s="445"/>
      <c r="D50" s="446"/>
      <c r="E50" s="236"/>
      <c r="F50" s="237"/>
      <c r="G50" s="237"/>
      <c r="H50" s="237"/>
      <c r="I50" s="237"/>
      <c r="J50" s="237"/>
      <c r="K50" s="237"/>
      <c r="L50" s="238"/>
      <c r="M50" s="239">
        <f>M49+M48</f>
        <v>915.81</v>
      </c>
      <c r="N50" s="240">
        <f>N48+N49</f>
        <v>40469.64</v>
      </c>
    </row>
    <row r="51" spans="1:14" ht="12.75">
      <c r="A51" s="148">
        <v>24</v>
      </c>
      <c r="B51" s="454" t="s">
        <v>11</v>
      </c>
      <c r="C51" s="455"/>
      <c r="D51" s="455"/>
      <c r="E51" s="455"/>
      <c r="F51" s="455"/>
      <c r="G51" s="455"/>
      <c r="H51" s="455"/>
      <c r="I51" s="455"/>
      <c r="J51" s="455"/>
      <c r="K51" s="455"/>
      <c r="L51" s="456"/>
      <c r="M51" s="239">
        <f>M36+M41+M46+M50</f>
        <v>10565.92</v>
      </c>
      <c r="N51" s="239">
        <f>N36+N41+N46+N50</f>
        <v>466908.02</v>
      </c>
    </row>
    <row r="52" spans="1:14" ht="12.75">
      <c r="A52" s="148">
        <v>25</v>
      </c>
      <c r="B52" s="241" t="s">
        <v>21</v>
      </c>
      <c r="C52" s="241"/>
      <c r="D52" s="242">
        <v>1</v>
      </c>
      <c r="E52" s="243"/>
      <c r="F52" s="244"/>
      <c r="G52" s="244"/>
      <c r="H52" s="244"/>
      <c r="I52" s="244"/>
      <c r="J52" s="244"/>
      <c r="K52" s="244"/>
      <c r="L52" s="245"/>
      <c r="M52" s="246">
        <f>M51*D52</f>
        <v>10565.92</v>
      </c>
      <c r="N52" s="247">
        <f>ROUND((D52*N51),2)</f>
        <v>466908.02</v>
      </c>
    </row>
    <row r="53" spans="1:14" ht="12.75">
      <c r="A53" s="148">
        <v>26</v>
      </c>
      <c r="B53" s="401" t="s">
        <v>44</v>
      </c>
      <c r="C53" s="152"/>
      <c r="D53" s="204"/>
      <c r="E53" s="243"/>
      <c r="F53" s="244"/>
      <c r="G53" s="244"/>
      <c r="H53" s="244"/>
      <c r="I53" s="244"/>
      <c r="J53" s="244"/>
      <c r="K53" s="244"/>
      <c r="L53" s="245"/>
      <c r="M53" s="248"/>
      <c r="N53" s="249">
        <f>0.18*N52</f>
        <v>84043.44</v>
      </c>
    </row>
    <row r="54" spans="1:14" ht="12.75">
      <c r="A54" s="148">
        <v>27</v>
      </c>
      <c r="B54" s="446" t="s">
        <v>177</v>
      </c>
      <c r="C54" s="449"/>
      <c r="D54" s="449"/>
      <c r="E54" s="250"/>
      <c r="F54" s="251"/>
      <c r="G54" s="251"/>
      <c r="H54" s="251"/>
      <c r="I54" s="251"/>
      <c r="J54" s="251"/>
      <c r="K54" s="251"/>
      <c r="L54" s="252"/>
      <c r="M54" s="248"/>
      <c r="N54" s="240">
        <f>N53+N52</f>
        <v>550951.46</v>
      </c>
    </row>
    <row r="56" spans="2:11" ht="12.75">
      <c r="B56" s="3" t="s">
        <v>325</v>
      </c>
      <c r="K56" s="3" t="s">
        <v>326</v>
      </c>
    </row>
    <row r="57" spans="2:4" ht="12.75">
      <c r="B57" s="632"/>
      <c r="C57" s="633"/>
      <c r="D57" s="633"/>
    </row>
    <row r="58" spans="2:4" ht="12.75">
      <c r="B58" s="633"/>
      <c r="C58" s="633"/>
      <c r="D58" s="633"/>
    </row>
    <row r="59" spans="2:4" ht="12.75">
      <c r="B59" s="633"/>
      <c r="C59" s="633"/>
      <c r="D59" s="633"/>
    </row>
    <row r="60" spans="2:4" ht="12.75">
      <c r="B60" s="634"/>
      <c r="C60" s="633"/>
      <c r="D60" s="633"/>
    </row>
  </sheetData>
  <sheetProtection/>
  <mergeCells count="38">
    <mergeCell ref="F3:N3"/>
    <mergeCell ref="F4:N4"/>
    <mergeCell ref="F5:N5"/>
    <mergeCell ref="E6:F6"/>
    <mergeCell ref="A7:N7"/>
    <mergeCell ref="A8:N8"/>
    <mergeCell ref="E14:L16"/>
    <mergeCell ref="M14:N14"/>
    <mergeCell ref="M15:N15"/>
    <mergeCell ref="A10:V10"/>
    <mergeCell ref="A11:F11"/>
    <mergeCell ref="A12:F12"/>
    <mergeCell ref="B13:K13"/>
    <mergeCell ref="F1:N1"/>
    <mergeCell ref="F2:N2"/>
    <mergeCell ref="B17:N17"/>
    <mergeCell ref="A18:N18"/>
    <mergeCell ref="B19:C19"/>
    <mergeCell ref="A26:N26"/>
    <mergeCell ref="A14:A16"/>
    <mergeCell ref="B14:B16"/>
    <mergeCell ref="C14:C16"/>
    <mergeCell ref="D14:D16"/>
    <mergeCell ref="B33:D33"/>
    <mergeCell ref="E34:G34"/>
    <mergeCell ref="E35:G35"/>
    <mergeCell ref="B36:D36"/>
    <mergeCell ref="B37:N37"/>
    <mergeCell ref="G38:H38"/>
    <mergeCell ref="B41:D41"/>
    <mergeCell ref="B42:N42"/>
    <mergeCell ref="B54:D54"/>
    <mergeCell ref="E45:G45"/>
    <mergeCell ref="B46:D46"/>
    <mergeCell ref="B47:N47"/>
    <mergeCell ref="E49:G49"/>
    <mergeCell ref="B50:D50"/>
    <mergeCell ref="B51:L51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V71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4.125" style="31" customWidth="1"/>
    <col min="2" max="2" width="35.00390625" style="31" customWidth="1"/>
    <col min="3" max="3" width="12.25390625" style="31" customWidth="1"/>
    <col min="4" max="4" width="6.875" style="31" customWidth="1"/>
    <col min="5" max="5" width="7.625" style="31" customWidth="1"/>
    <col min="6" max="6" width="7.25390625" style="31" customWidth="1"/>
    <col min="7" max="7" width="2.125" style="31" customWidth="1"/>
    <col min="8" max="8" width="6.375" style="31" customWidth="1"/>
    <col min="9" max="9" width="2.75390625" style="31" customWidth="1"/>
    <col min="10" max="10" width="8.25390625" style="31" customWidth="1"/>
    <col min="11" max="11" width="2.00390625" style="31" customWidth="1"/>
    <col min="12" max="12" width="5.00390625" style="31" customWidth="1"/>
    <col min="13" max="13" width="12.125" style="93" customWidth="1"/>
    <col min="14" max="15" width="9.125" style="31" customWidth="1"/>
    <col min="16" max="16" width="13.125" style="31" customWidth="1"/>
    <col min="17" max="16384" width="9.125" style="31" customWidth="1"/>
  </cols>
  <sheetData>
    <row r="1" spans="6:22" s="3" customFormat="1" ht="17.25" customHeight="1">
      <c r="F1" s="444" t="s">
        <v>317</v>
      </c>
      <c r="G1" s="444"/>
      <c r="H1" s="444"/>
      <c r="I1" s="444"/>
      <c r="J1" s="444"/>
      <c r="K1" s="444"/>
      <c r="L1" s="444"/>
      <c r="M1" s="444"/>
      <c r="N1" s="444"/>
      <c r="O1" s="396"/>
      <c r="P1" s="396"/>
      <c r="Q1" s="396"/>
      <c r="R1" s="396"/>
      <c r="S1" s="396"/>
      <c r="T1" s="396"/>
      <c r="U1" s="396"/>
      <c r="V1" s="396"/>
    </row>
    <row r="2" spans="6:22" s="3" customFormat="1" ht="13.5" customHeight="1">
      <c r="F2" s="414" t="s">
        <v>318</v>
      </c>
      <c r="G2" s="414"/>
      <c r="H2" s="414"/>
      <c r="I2" s="414"/>
      <c r="J2" s="414"/>
      <c r="K2" s="414"/>
      <c r="L2" s="414"/>
      <c r="M2" s="414"/>
      <c r="N2" s="414"/>
      <c r="O2" s="76"/>
      <c r="P2" s="76"/>
      <c r="Q2" s="76"/>
      <c r="R2" s="76"/>
      <c r="S2" s="76"/>
      <c r="T2" s="76"/>
      <c r="U2" s="76"/>
      <c r="V2" s="76"/>
    </row>
    <row r="3" spans="6:22" s="3" customFormat="1" ht="15" customHeight="1">
      <c r="F3" s="414" t="s">
        <v>319</v>
      </c>
      <c r="G3" s="414"/>
      <c r="H3" s="414"/>
      <c r="I3" s="414"/>
      <c r="J3" s="414"/>
      <c r="K3" s="414"/>
      <c r="L3" s="414"/>
      <c r="M3" s="414"/>
      <c r="N3" s="414"/>
      <c r="O3" s="76"/>
      <c r="P3" s="76"/>
      <c r="Q3" s="76"/>
      <c r="R3" s="76"/>
      <c r="S3" s="76"/>
      <c r="T3" s="76"/>
      <c r="U3" s="76"/>
      <c r="V3" s="76"/>
    </row>
    <row r="4" spans="6:22" s="3" customFormat="1" ht="21.75" customHeight="1">
      <c r="F4" s="414" t="s">
        <v>320</v>
      </c>
      <c r="G4" s="414"/>
      <c r="H4" s="414"/>
      <c r="I4" s="414"/>
      <c r="J4" s="414"/>
      <c r="K4" s="414"/>
      <c r="L4" s="414"/>
      <c r="M4" s="414"/>
      <c r="N4" s="414"/>
      <c r="O4" s="76"/>
      <c r="P4" s="76"/>
      <c r="Q4" s="76"/>
      <c r="R4" s="76"/>
      <c r="S4" s="76"/>
      <c r="T4" s="76"/>
      <c r="U4" s="76"/>
      <c r="V4" s="76"/>
    </row>
    <row r="5" spans="6:22" s="3" customFormat="1" ht="19.5" customHeight="1">
      <c r="F5" s="414" t="s">
        <v>321</v>
      </c>
      <c r="G5" s="414"/>
      <c r="H5" s="414"/>
      <c r="I5" s="414"/>
      <c r="J5" s="414"/>
      <c r="K5" s="414"/>
      <c r="L5" s="414"/>
      <c r="M5" s="414"/>
      <c r="N5" s="414"/>
      <c r="O5" s="76"/>
      <c r="P5" s="76"/>
      <c r="Q5" s="76"/>
      <c r="R5" s="76"/>
      <c r="S5" s="76"/>
      <c r="T5" s="76"/>
      <c r="U5" s="76"/>
      <c r="V5" s="76"/>
    </row>
    <row r="6" spans="5:6" s="3" customFormat="1" ht="12.75">
      <c r="E6" s="414"/>
      <c r="F6" s="414"/>
    </row>
    <row r="7" spans="1:22" s="3" customFormat="1" ht="12.75">
      <c r="A7" s="411" t="s">
        <v>331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395"/>
      <c r="P7" s="395"/>
      <c r="Q7" s="395"/>
      <c r="R7" s="395"/>
      <c r="S7" s="395"/>
      <c r="T7" s="395"/>
      <c r="U7" s="395"/>
      <c r="V7" s="395"/>
    </row>
    <row r="8" spans="1:22" s="3" customFormat="1" ht="12.75">
      <c r="A8" s="422" t="s">
        <v>332</v>
      </c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398"/>
      <c r="P8" s="398"/>
      <c r="Q8" s="398"/>
      <c r="R8" s="398"/>
      <c r="S8" s="398"/>
      <c r="T8" s="398"/>
      <c r="U8" s="398"/>
      <c r="V8" s="398"/>
    </row>
    <row r="9" spans="1:6" s="3" customFormat="1" ht="12.75">
      <c r="A9" s="389"/>
      <c r="B9" s="389"/>
      <c r="C9" s="389"/>
      <c r="D9" s="389"/>
      <c r="E9" s="389"/>
      <c r="F9" s="389"/>
    </row>
    <row r="10" spans="1:22" s="3" customFormat="1" ht="15.75" customHeight="1">
      <c r="A10" s="413" t="s">
        <v>324</v>
      </c>
      <c r="B10" s="413"/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  <c r="V10" s="413"/>
    </row>
    <row r="11" spans="1:10" s="3" customFormat="1" ht="13.5" customHeight="1">
      <c r="A11" s="413" t="s">
        <v>322</v>
      </c>
      <c r="B11" s="413"/>
      <c r="C11" s="413"/>
      <c r="D11" s="413"/>
      <c r="E11" s="413"/>
      <c r="F11" s="413"/>
      <c r="G11" s="17"/>
      <c r="H11" s="16"/>
      <c r="I11" s="17"/>
      <c r="J11" s="16"/>
    </row>
    <row r="12" spans="1:10" s="3" customFormat="1" ht="13.5" customHeight="1">
      <c r="A12" s="413" t="s">
        <v>323</v>
      </c>
      <c r="B12" s="413"/>
      <c r="C12" s="413"/>
      <c r="D12" s="413"/>
      <c r="E12" s="413"/>
      <c r="F12" s="413"/>
      <c r="G12" s="17"/>
      <c r="H12" s="16"/>
      <c r="I12" s="17"/>
      <c r="J12" s="16"/>
    </row>
    <row r="13" spans="1:14" s="3" customFormat="1" ht="12.75">
      <c r="A13" s="675" t="s">
        <v>88</v>
      </c>
      <c r="B13" s="676" t="s">
        <v>96</v>
      </c>
      <c r="C13" s="676"/>
      <c r="D13" s="676"/>
      <c r="E13" s="676"/>
      <c r="F13" s="676"/>
      <c r="G13" s="676"/>
      <c r="H13" s="676"/>
      <c r="I13" s="676"/>
      <c r="J13" s="676"/>
      <c r="K13" s="676"/>
      <c r="L13" s="675"/>
      <c r="M13" s="675"/>
      <c r="N13" s="118"/>
    </row>
    <row r="14" spans="1:13" ht="72.75" customHeight="1">
      <c r="A14" s="25" t="s">
        <v>28</v>
      </c>
      <c r="B14" s="25" t="s">
        <v>1</v>
      </c>
      <c r="C14" s="516" t="s">
        <v>29</v>
      </c>
      <c r="D14" s="517"/>
      <c r="E14" s="516" t="s">
        <v>30</v>
      </c>
      <c r="F14" s="518"/>
      <c r="G14" s="518"/>
      <c r="H14" s="518"/>
      <c r="I14" s="518"/>
      <c r="J14" s="518"/>
      <c r="K14" s="518"/>
      <c r="L14" s="518"/>
      <c r="M14" s="114" t="s">
        <v>31</v>
      </c>
    </row>
    <row r="15" spans="1:13" s="697" customFormat="1" ht="12.75">
      <c r="A15" s="692">
        <v>1</v>
      </c>
      <c r="B15" s="692">
        <v>2</v>
      </c>
      <c r="C15" s="693">
        <v>3</v>
      </c>
      <c r="D15" s="694"/>
      <c r="E15" s="693">
        <v>4</v>
      </c>
      <c r="F15" s="695"/>
      <c r="G15" s="695"/>
      <c r="H15" s="695"/>
      <c r="I15" s="695"/>
      <c r="J15" s="695"/>
      <c r="K15" s="695"/>
      <c r="L15" s="694"/>
      <c r="M15" s="696">
        <v>5</v>
      </c>
    </row>
    <row r="16" spans="1:13" ht="29.25" customHeight="1">
      <c r="A16" s="34"/>
      <c r="B16" s="478" t="s">
        <v>63</v>
      </c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519"/>
    </row>
    <row r="17" spans="1:13" ht="12.75">
      <c r="A17" s="36"/>
      <c r="B17" s="37" t="s">
        <v>25</v>
      </c>
      <c r="C17" s="27"/>
      <c r="D17" s="27"/>
      <c r="E17" s="27"/>
      <c r="F17" s="38"/>
      <c r="G17" s="38"/>
      <c r="H17" s="38"/>
      <c r="I17" s="38"/>
      <c r="J17" s="38"/>
      <c r="K17" s="38"/>
      <c r="L17" s="38"/>
      <c r="M17" s="94"/>
    </row>
    <row r="18" spans="1:13" ht="12.75">
      <c r="A18" s="36"/>
      <c r="B18" s="27" t="s">
        <v>32</v>
      </c>
      <c r="C18" s="38"/>
      <c r="D18" s="26">
        <f>1.3+0.25</f>
        <v>1.55</v>
      </c>
      <c r="E18" s="38"/>
      <c r="F18" s="38"/>
      <c r="G18" s="38"/>
      <c r="H18" s="38"/>
      <c r="I18" s="38"/>
      <c r="J18" s="38"/>
      <c r="K18" s="38"/>
      <c r="L18" s="38"/>
      <c r="M18" s="94"/>
    </row>
    <row r="19" spans="1:13" ht="12.75">
      <c r="A19" s="36"/>
      <c r="B19" s="27" t="s">
        <v>92</v>
      </c>
      <c r="C19" s="38"/>
      <c r="D19" s="26">
        <v>44.19</v>
      </c>
      <c r="E19" s="39"/>
      <c r="F19" s="38"/>
      <c r="G19" s="38"/>
      <c r="H19" s="38"/>
      <c r="I19" s="38"/>
      <c r="J19" s="38"/>
      <c r="K19" s="38"/>
      <c r="L19" s="38"/>
      <c r="M19" s="94"/>
    </row>
    <row r="20" spans="1:18" ht="12.75">
      <c r="A20" s="36"/>
      <c r="B20" s="27" t="s">
        <v>274</v>
      </c>
      <c r="C20" s="26"/>
      <c r="D20" s="26">
        <v>4</v>
      </c>
      <c r="E20" s="39"/>
      <c r="F20" s="38"/>
      <c r="G20" s="38"/>
      <c r="H20" s="38"/>
      <c r="I20" s="38"/>
      <c r="J20" s="698" t="s">
        <v>88</v>
      </c>
      <c r="K20" s="698"/>
      <c r="L20" s="698"/>
      <c r="M20" s="94"/>
      <c r="P20" s="3"/>
      <c r="Q20" s="29" t="s">
        <v>88</v>
      </c>
      <c r="R20" s="3" t="s">
        <v>88</v>
      </c>
    </row>
    <row r="21" spans="1:13" ht="12.75">
      <c r="A21" s="520" t="s">
        <v>52</v>
      </c>
      <c r="B21" s="520"/>
      <c r="C21" s="520"/>
      <c r="D21" s="520"/>
      <c r="E21" s="520"/>
      <c r="F21" s="520"/>
      <c r="G21" s="520"/>
      <c r="H21" s="520"/>
      <c r="I21" s="520"/>
      <c r="J21" s="520"/>
      <c r="K21" s="520"/>
      <c r="L21" s="520"/>
      <c r="M21" s="520"/>
    </row>
    <row r="22" spans="1:13" ht="12.75">
      <c r="A22" s="482">
        <v>1</v>
      </c>
      <c r="B22" s="510" t="s">
        <v>89</v>
      </c>
      <c r="C22" s="40" t="s">
        <v>62</v>
      </c>
      <c r="D22" s="41"/>
      <c r="E22" s="496" t="s">
        <v>33</v>
      </c>
      <c r="F22" s="493"/>
      <c r="G22" s="493"/>
      <c r="H22" s="493"/>
      <c r="I22" s="493"/>
      <c r="J22" s="493"/>
      <c r="K22" s="493"/>
      <c r="L22" s="493"/>
      <c r="M22" s="495">
        <f>ROUND(E23*J23,2)</f>
        <v>3.9</v>
      </c>
    </row>
    <row r="23" spans="1:13" ht="12.75">
      <c r="A23" s="482"/>
      <c r="B23" s="501"/>
      <c r="C23" s="40"/>
      <c r="D23" s="41"/>
      <c r="E23" s="42">
        <v>4.33</v>
      </c>
      <c r="F23" s="43"/>
      <c r="G23" s="43"/>
      <c r="H23" s="43"/>
      <c r="I23" s="43"/>
      <c r="J23" s="92">
        <v>0.9</v>
      </c>
      <c r="K23" s="43"/>
      <c r="L23" s="43"/>
      <c r="M23" s="495"/>
    </row>
    <row r="24" spans="1:13" ht="12.75">
      <c r="A24" s="482"/>
      <c r="B24" s="501"/>
      <c r="C24" s="40"/>
      <c r="D24" s="41"/>
      <c r="E24" s="496" t="s">
        <v>34</v>
      </c>
      <c r="F24" s="493"/>
      <c r="G24" s="493"/>
      <c r="H24" s="493"/>
      <c r="I24" s="493"/>
      <c r="J24" s="493"/>
      <c r="K24" s="493"/>
      <c r="L24" s="493"/>
      <c r="M24" s="495">
        <f>ROUND(E25*J25,2)</f>
        <v>1.52</v>
      </c>
    </row>
    <row r="25" spans="1:13" ht="19.5" customHeight="1">
      <c r="A25" s="482"/>
      <c r="B25" s="501"/>
      <c r="C25" s="40"/>
      <c r="D25" s="41"/>
      <c r="E25" s="79">
        <v>1.69</v>
      </c>
      <c r="F25" s="80"/>
      <c r="G25" s="80"/>
      <c r="H25" s="80"/>
      <c r="I25" s="80"/>
      <c r="J25" s="80">
        <f>J23</f>
        <v>0.9</v>
      </c>
      <c r="K25" s="80"/>
      <c r="L25" s="80"/>
      <c r="M25" s="495"/>
    </row>
    <row r="26" spans="1:13" ht="12.75">
      <c r="A26" s="484">
        <v>2</v>
      </c>
      <c r="B26" s="500" t="s">
        <v>46</v>
      </c>
      <c r="C26" s="48" t="s">
        <v>65</v>
      </c>
      <c r="D26" s="49"/>
      <c r="E26" s="478" t="s">
        <v>33</v>
      </c>
      <c r="F26" s="479"/>
      <c r="G26" s="479"/>
      <c r="H26" s="479"/>
      <c r="I26" s="479"/>
      <c r="J26" s="479"/>
      <c r="K26" s="479"/>
      <c r="L26" s="479"/>
      <c r="M26" s="494">
        <f>ROUND(E27*J27,2)</f>
        <v>18.27</v>
      </c>
    </row>
    <row r="27" spans="1:13" ht="12.75">
      <c r="A27" s="482"/>
      <c r="B27" s="501"/>
      <c r="C27" s="40"/>
      <c r="D27" s="41"/>
      <c r="E27" s="42">
        <v>20.3</v>
      </c>
      <c r="F27" s="43"/>
      <c r="G27" s="43"/>
      <c r="H27" s="43"/>
      <c r="I27" s="43"/>
      <c r="J27" s="43">
        <f>J23</f>
        <v>0.9</v>
      </c>
      <c r="K27" s="43"/>
      <c r="L27" s="43"/>
      <c r="M27" s="495"/>
    </row>
    <row r="28" spans="1:13" ht="12.75">
      <c r="A28" s="482"/>
      <c r="B28" s="501"/>
      <c r="C28" s="40"/>
      <c r="D28" s="41"/>
      <c r="E28" s="496" t="s">
        <v>34</v>
      </c>
      <c r="F28" s="493"/>
      <c r="G28" s="493"/>
      <c r="H28" s="493"/>
      <c r="I28" s="493"/>
      <c r="J28" s="493"/>
      <c r="K28" s="493"/>
      <c r="L28" s="493"/>
      <c r="M28" s="495">
        <f>ROUND(E29*J29,2)</f>
        <v>1.89</v>
      </c>
    </row>
    <row r="29" spans="1:13" ht="39" customHeight="1">
      <c r="A29" s="485"/>
      <c r="B29" s="502"/>
      <c r="C29" s="30"/>
      <c r="D29" s="45"/>
      <c r="E29" s="46">
        <v>2.1</v>
      </c>
      <c r="F29" s="47"/>
      <c r="G29" s="47"/>
      <c r="H29" s="47"/>
      <c r="I29" s="47"/>
      <c r="J29" s="47">
        <f>J23</f>
        <v>0.9</v>
      </c>
      <c r="K29" s="47"/>
      <c r="L29" s="47"/>
      <c r="M29" s="512"/>
    </row>
    <row r="30" spans="1:13" ht="25.5">
      <c r="A30" s="484">
        <v>3</v>
      </c>
      <c r="B30" s="491" t="s">
        <v>70</v>
      </c>
      <c r="C30" s="48" t="s">
        <v>35</v>
      </c>
      <c r="D30" s="49"/>
      <c r="E30" s="478" t="s">
        <v>33</v>
      </c>
      <c r="F30" s="479"/>
      <c r="G30" s="479"/>
      <c r="H30" s="479"/>
      <c r="I30" s="479"/>
      <c r="J30" s="479"/>
      <c r="K30" s="479"/>
      <c r="L30" s="479"/>
      <c r="M30" s="513">
        <f>ROUND(E31*J31*L31,2)</f>
        <v>7.02</v>
      </c>
    </row>
    <row r="31" spans="1:13" ht="114.75">
      <c r="A31" s="482"/>
      <c r="B31" s="490"/>
      <c r="C31" s="40" t="s">
        <v>343</v>
      </c>
      <c r="D31" s="41">
        <v>0.6</v>
      </c>
      <c r="E31" s="42">
        <v>11.7</v>
      </c>
      <c r="F31" s="43"/>
      <c r="G31" s="43"/>
      <c r="H31" s="43"/>
      <c r="I31" s="43"/>
      <c r="J31" s="43">
        <v>1</v>
      </c>
      <c r="K31" s="43" t="s">
        <v>12</v>
      </c>
      <c r="L31" s="43">
        <v>0.6</v>
      </c>
      <c r="M31" s="514"/>
    </row>
    <row r="32" spans="1:13" ht="12.75">
      <c r="A32" s="482"/>
      <c r="B32" s="490"/>
      <c r="C32" s="40"/>
      <c r="D32" s="41"/>
      <c r="E32" s="496" t="s">
        <v>34</v>
      </c>
      <c r="F32" s="493"/>
      <c r="G32" s="493"/>
      <c r="H32" s="493"/>
      <c r="I32" s="493"/>
      <c r="J32" s="493"/>
      <c r="K32" s="493"/>
      <c r="L32" s="493"/>
      <c r="M32" s="513">
        <f>ROUND(E33*J33*L33,2)</f>
        <v>4.5</v>
      </c>
    </row>
    <row r="33" spans="1:13" ht="12.75">
      <c r="A33" s="485"/>
      <c r="B33" s="492"/>
      <c r="C33" s="30"/>
      <c r="D33" s="45"/>
      <c r="E33" s="50">
        <v>7.5</v>
      </c>
      <c r="F33" s="51"/>
      <c r="G33" s="51"/>
      <c r="H33" s="51"/>
      <c r="I33" s="51"/>
      <c r="J33" s="51">
        <v>1</v>
      </c>
      <c r="K33" s="51" t="s">
        <v>12</v>
      </c>
      <c r="L33" s="51">
        <v>0.6</v>
      </c>
      <c r="M33" s="514"/>
    </row>
    <row r="34" spans="1:13" ht="25.5">
      <c r="A34" s="34">
        <v>4</v>
      </c>
      <c r="B34" s="52" t="s">
        <v>38</v>
      </c>
      <c r="C34" s="48" t="s">
        <v>39</v>
      </c>
      <c r="D34" s="55"/>
      <c r="E34" s="478" t="s">
        <v>33</v>
      </c>
      <c r="F34" s="479"/>
      <c r="G34" s="479"/>
      <c r="H34" s="479"/>
      <c r="I34" s="479"/>
      <c r="J34" s="479"/>
      <c r="K34" s="479"/>
      <c r="L34" s="479"/>
      <c r="M34" s="89"/>
    </row>
    <row r="35" spans="1:13" ht="63.75">
      <c r="A35" s="44"/>
      <c r="B35" s="54" t="s">
        <v>58</v>
      </c>
      <c r="C35" s="30" t="s">
        <v>344</v>
      </c>
      <c r="D35" s="45">
        <v>0.9</v>
      </c>
      <c r="E35" s="50">
        <v>6.9</v>
      </c>
      <c r="F35" s="43"/>
      <c r="G35" s="43"/>
      <c r="H35" s="43"/>
      <c r="I35" s="43"/>
      <c r="J35" s="51">
        <v>1</v>
      </c>
      <c r="K35" s="43" t="s">
        <v>12</v>
      </c>
      <c r="L35" s="51">
        <v>0.9</v>
      </c>
      <c r="M35" s="71">
        <f>ROUND(E35*J35*L35,2)</f>
        <v>6.21</v>
      </c>
    </row>
    <row r="36" spans="1:13" ht="25.5">
      <c r="A36" s="28">
        <v>5</v>
      </c>
      <c r="B36" s="52" t="s">
        <v>40</v>
      </c>
      <c r="C36" s="48"/>
      <c r="D36" s="55"/>
      <c r="E36" s="478" t="s">
        <v>33</v>
      </c>
      <c r="F36" s="479"/>
      <c r="G36" s="479"/>
      <c r="H36" s="479"/>
      <c r="I36" s="479"/>
      <c r="J36" s="479"/>
      <c r="K36" s="479"/>
      <c r="L36" s="479"/>
      <c r="M36" s="89"/>
    </row>
    <row r="37" spans="1:13" ht="12.75">
      <c r="A37" s="28"/>
      <c r="B37" s="53" t="s">
        <v>41</v>
      </c>
      <c r="C37" s="40" t="s">
        <v>47</v>
      </c>
      <c r="D37" s="56"/>
      <c r="E37" s="42">
        <v>37.7</v>
      </c>
      <c r="F37" s="43"/>
      <c r="G37" s="43"/>
      <c r="H37" s="43"/>
      <c r="I37" s="43"/>
      <c r="J37" s="43">
        <v>1</v>
      </c>
      <c r="K37" s="43"/>
      <c r="L37" s="43"/>
      <c r="M37" s="90">
        <f>ROUND(E37*J37,2)</f>
        <v>37.7</v>
      </c>
    </row>
    <row r="38" spans="1:13" ht="25.5">
      <c r="A38" s="484">
        <v>6</v>
      </c>
      <c r="B38" s="491" t="s">
        <v>72</v>
      </c>
      <c r="C38" s="48" t="s">
        <v>45</v>
      </c>
      <c r="D38" s="49"/>
      <c r="E38" s="478" t="s">
        <v>33</v>
      </c>
      <c r="F38" s="479"/>
      <c r="G38" s="479"/>
      <c r="H38" s="479"/>
      <c r="I38" s="479"/>
      <c r="J38" s="479"/>
      <c r="K38" s="479"/>
      <c r="L38" s="479"/>
      <c r="M38" s="494">
        <f>ROUND(E39*J39,2)</f>
        <v>1968</v>
      </c>
    </row>
    <row r="39" spans="1:13" ht="12.75">
      <c r="A39" s="482"/>
      <c r="B39" s="490"/>
      <c r="C39" s="40"/>
      <c r="D39" s="41"/>
      <c r="E39" s="42">
        <v>49.2</v>
      </c>
      <c r="F39" s="43"/>
      <c r="G39" s="43"/>
      <c r="H39" s="43"/>
      <c r="I39" s="43"/>
      <c r="J39" s="43">
        <f>D20/0.1</f>
        <v>40</v>
      </c>
      <c r="K39" s="43"/>
      <c r="L39" s="43"/>
      <c r="M39" s="495"/>
    </row>
    <row r="40" spans="1:13" ht="12.75">
      <c r="A40" s="482"/>
      <c r="B40" s="490"/>
      <c r="C40" s="40"/>
      <c r="D40" s="41"/>
      <c r="E40" s="496" t="s">
        <v>34</v>
      </c>
      <c r="F40" s="493"/>
      <c r="G40" s="493"/>
      <c r="H40" s="493"/>
      <c r="I40" s="493"/>
      <c r="J40" s="493"/>
      <c r="K40" s="493"/>
      <c r="L40" s="493"/>
      <c r="M40" s="494">
        <f>ROUND(E41*J41,2)</f>
        <v>592</v>
      </c>
    </row>
    <row r="41" spans="1:13" ht="12.75">
      <c r="A41" s="485"/>
      <c r="B41" s="490"/>
      <c r="C41" s="30"/>
      <c r="D41" s="45"/>
      <c r="E41" s="46">
        <v>14.8</v>
      </c>
      <c r="F41" s="47"/>
      <c r="G41" s="47"/>
      <c r="H41" s="47"/>
      <c r="I41" s="47"/>
      <c r="J41" s="47">
        <f>J39</f>
        <v>40</v>
      </c>
      <c r="K41" s="47"/>
      <c r="L41" s="47"/>
      <c r="M41" s="512"/>
    </row>
    <row r="42" spans="1:13" ht="12.75">
      <c r="A42" s="42"/>
      <c r="B42" s="55"/>
      <c r="C42" s="497" t="s">
        <v>11</v>
      </c>
      <c r="D42" s="498"/>
      <c r="E42" s="498"/>
      <c r="F42" s="498"/>
      <c r="G42" s="498"/>
      <c r="H42" s="498"/>
      <c r="I42" s="498"/>
      <c r="J42" s="498"/>
      <c r="K42" s="498"/>
      <c r="L42" s="498"/>
      <c r="M42" s="91">
        <f>M44+M43</f>
        <v>2641.01</v>
      </c>
    </row>
    <row r="43" spans="1:13" ht="12.75">
      <c r="A43" s="42"/>
      <c r="B43" s="57"/>
      <c r="C43" s="486" t="s">
        <v>36</v>
      </c>
      <c r="D43" s="487"/>
      <c r="E43" s="487"/>
      <c r="F43" s="487"/>
      <c r="G43" s="487"/>
      <c r="H43" s="487"/>
      <c r="I43" s="487"/>
      <c r="J43" s="487"/>
      <c r="K43" s="487"/>
      <c r="L43" s="487"/>
      <c r="M43" s="23">
        <f>M22+M26+M30+M38+M35+M37</f>
        <v>2041.1</v>
      </c>
    </row>
    <row r="44" spans="1:13" ht="12.75">
      <c r="A44" s="42"/>
      <c r="B44" s="57"/>
      <c r="C44" s="488" t="s">
        <v>37</v>
      </c>
      <c r="D44" s="489"/>
      <c r="E44" s="489"/>
      <c r="F44" s="489"/>
      <c r="G44" s="489"/>
      <c r="H44" s="489"/>
      <c r="I44" s="489"/>
      <c r="J44" s="489"/>
      <c r="K44" s="489"/>
      <c r="L44" s="489"/>
      <c r="M44" s="89">
        <f>M24+M28+M32+M40</f>
        <v>599.91</v>
      </c>
    </row>
    <row r="45" spans="1:13" ht="12.75">
      <c r="A45" s="33"/>
      <c r="B45" s="58" t="s">
        <v>51</v>
      </c>
      <c r="C45" s="61"/>
      <c r="D45" s="60"/>
      <c r="E45" s="61"/>
      <c r="F45" s="59"/>
      <c r="G45" s="59"/>
      <c r="H45" s="59"/>
      <c r="I45" s="59"/>
      <c r="J45" s="59"/>
      <c r="K45" s="59"/>
      <c r="L45" s="59"/>
      <c r="M45" s="23"/>
    </row>
    <row r="46" spans="1:13" ht="63.75">
      <c r="A46" s="42">
        <v>7</v>
      </c>
      <c r="B46" s="52" t="s">
        <v>66</v>
      </c>
      <c r="C46" s="62" t="s">
        <v>48</v>
      </c>
      <c r="D46" s="63"/>
      <c r="E46" s="62">
        <v>52.3</v>
      </c>
      <c r="G46" s="64"/>
      <c r="H46" s="64"/>
      <c r="I46" s="64"/>
      <c r="J46" s="64">
        <f>B47</f>
        <v>1</v>
      </c>
      <c r="K46" s="64"/>
      <c r="L46" s="64"/>
      <c r="M46" s="71">
        <f>ROUND(E46*J46,2)</f>
        <v>52.3</v>
      </c>
    </row>
    <row r="47" spans="1:13" ht="12.75">
      <c r="A47" s="50"/>
      <c r="B47" s="65">
        <v>1</v>
      </c>
      <c r="C47" s="66"/>
      <c r="D47" s="67"/>
      <c r="E47" s="66"/>
      <c r="F47" s="68"/>
      <c r="G47" s="68"/>
      <c r="H47" s="68"/>
      <c r="I47" s="68"/>
      <c r="J47" s="68"/>
      <c r="K47" s="68"/>
      <c r="L47" s="68"/>
      <c r="M47" s="91"/>
    </row>
    <row r="48" spans="1:13" ht="51">
      <c r="A48" s="34">
        <v>8</v>
      </c>
      <c r="B48" s="57" t="s">
        <v>67</v>
      </c>
      <c r="C48" s="62" t="s">
        <v>49</v>
      </c>
      <c r="D48" s="63"/>
      <c r="E48" s="62">
        <v>13.3</v>
      </c>
      <c r="F48" s="64"/>
      <c r="G48" s="64"/>
      <c r="H48" s="64"/>
      <c r="I48" s="64"/>
      <c r="J48" s="64">
        <f>B49</f>
        <v>1</v>
      </c>
      <c r="K48" s="64"/>
      <c r="L48" s="64"/>
      <c r="M48" s="95">
        <f>ROUND(E48*J48,2)</f>
        <v>13.3</v>
      </c>
    </row>
    <row r="49" spans="1:13" ht="12.75">
      <c r="A49" s="44"/>
      <c r="B49" s="68">
        <v>1</v>
      </c>
      <c r="C49" s="66"/>
      <c r="D49" s="67"/>
      <c r="E49" s="66"/>
      <c r="F49" s="68"/>
      <c r="G49" s="68"/>
      <c r="H49" s="68"/>
      <c r="I49" s="68"/>
      <c r="J49" s="68"/>
      <c r="K49" s="68"/>
      <c r="L49" s="68"/>
      <c r="M49" s="91"/>
    </row>
    <row r="50" spans="1:13" ht="38.25">
      <c r="A50" s="28">
        <v>9</v>
      </c>
      <c r="B50" s="57" t="s">
        <v>68</v>
      </c>
      <c r="C50" s="62" t="s">
        <v>50</v>
      </c>
      <c r="D50" s="63"/>
      <c r="E50" s="98">
        <v>19.7</v>
      </c>
      <c r="F50" s="64"/>
      <c r="G50" s="64"/>
      <c r="H50" s="64"/>
      <c r="I50" s="64"/>
      <c r="J50" s="64">
        <f>B51</f>
        <v>1</v>
      </c>
      <c r="K50" s="64"/>
      <c r="L50" s="64"/>
      <c r="M50" s="95">
        <f>ROUND(E50*J50,2)</f>
        <v>19.7</v>
      </c>
    </row>
    <row r="51" spans="1:13" ht="12.75">
      <c r="A51" s="28"/>
      <c r="B51" s="64">
        <v>1</v>
      </c>
      <c r="C51" s="62"/>
      <c r="D51" s="63"/>
      <c r="E51" s="62"/>
      <c r="F51" s="64"/>
      <c r="G51" s="64"/>
      <c r="H51" s="64"/>
      <c r="I51" s="64"/>
      <c r="J51" s="64"/>
      <c r="K51" s="64"/>
      <c r="L51" s="64"/>
      <c r="M51" s="90"/>
    </row>
    <row r="52" spans="1:13" ht="12.75" customHeight="1">
      <c r="A52" s="32"/>
      <c r="B52" s="69"/>
      <c r="C52" s="59"/>
      <c r="D52" s="59"/>
      <c r="E52" s="59"/>
      <c r="F52" s="481" t="s">
        <v>53</v>
      </c>
      <c r="G52" s="481"/>
      <c r="H52" s="481"/>
      <c r="I52" s="481"/>
      <c r="J52" s="481"/>
      <c r="K52" s="481"/>
      <c r="L52" s="483"/>
      <c r="M52" s="23">
        <f>M46+M48+M50</f>
        <v>85.3</v>
      </c>
    </row>
    <row r="53" spans="1:13" ht="16.5" customHeight="1">
      <c r="A53" s="70"/>
      <c r="B53" s="38"/>
      <c r="C53" s="38"/>
      <c r="D53" s="38"/>
      <c r="E53" s="38"/>
      <c r="F53" s="38"/>
      <c r="G53" s="38"/>
      <c r="H53" s="38"/>
      <c r="I53" s="38"/>
      <c r="J53" s="499" t="s">
        <v>11</v>
      </c>
      <c r="K53" s="499"/>
      <c r="L53" s="499"/>
      <c r="M53" s="96">
        <f>M52+M42</f>
        <v>2726.31</v>
      </c>
    </row>
    <row r="54" spans="1:13" ht="41.25" customHeight="1">
      <c r="A54" s="34">
        <v>10</v>
      </c>
      <c r="B54" s="52" t="s">
        <v>54</v>
      </c>
      <c r="C54" s="48" t="s">
        <v>55</v>
      </c>
      <c r="D54" s="49">
        <v>18</v>
      </c>
      <c r="E54" s="99">
        <f>M44</f>
        <v>599.91</v>
      </c>
      <c r="F54" s="35"/>
      <c r="G54" s="35"/>
      <c r="H54" s="35"/>
      <c r="I54" s="35" t="s">
        <v>12</v>
      </c>
      <c r="J54" s="35">
        <v>0.18</v>
      </c>
      <c r="K54" s="35"/>
      <c r="L54" s="35"/>
      <c r="M54" s="95">
        <f>ROUND(E54*J54,2)</f>
        <v>107.98</v>
      </c>
    </row>
    <row r="55" spans="1:13" ht="15" customHeight="1">
      <c r="A55" s="32">
        <v>11</v>
      </c>
      <c r="B55" s="81" t="s">
        <v>42</v>
      </c>
      <c r="C55" s="82" t="s">
        <v>64</v>
      </c>
      <c r="D55" s="83">
        <v>0.0875</v>
      </c>
      <c r="E55" s="33">
        <f>M43</f>
        <v>2041.1</v>
      </c>
      <c r="F55" s="78"/>
      <c r="G55" s="78"/>
      <c r="H55" s="78"/>
      <c r="I55" s="78" t="s">
        <v>12</v>
      </c>
      <c r="J55" s="481">
        <v>0.0875</v>
      </c>
      <c r="K55" s="481"/>
      <c r="L55" s="78"/>
      <c r="M55" s="88">
        <f>ROUND(E55*J55,2)</f>
        <v>178.6</v>
      </c>
    </row>
    <row r="56" spans="1:13" ht="12.75">
      <c r="A56" s="482">
        <v>12</v>
      </c>
      <c r="B56" s="490" t="s">
        <v>43</v>
      </c>
      <c r="C56" s="40" t="s">
        <v>73</v>
      </c>
      <c r="D56" s="84">
        <v>0.06</v>
      </c>
      <c r="E56" s="699" t="s">
        <v>59</v>
      </c>
      <c r="F56" s="700">
        <f>M43</f>
        <v>2041.1</v>
      </c>
      <c r="G56" s="80" t="s">
        <v>60</v>
      </c>
      <c r="H56" s="701">
        <f>M55</f>
        <v>178.6</v>
      </c>
      <c r="I56" s="80" t="s">
        <v>61</v>
      </c>
      <c r="J56" s="80">
        <v>0.06</v>
      </c>
      <c r="K56" s="80" t="s">
        <v>12</v>
      </c>
      <c r="L56" s="80">
        <f>D57</f>
        <v>2.5</v>
      </c>
      <c r="M56" s="90">
        <f>ROUND((F56+H56)*J56*L56,2)</f>
        <v>332.96</v>
      </c>
    </row>
    <row r="57" spans="1:13" ht="90" customHeight="1">
      <c r="A57" s="482"/>
      <c r="B57" s="490"/>
      <c r="C57" s="40" t="s">
        <v>71</v>
      </c>
      <c r="D57" s="41">
        <v>2.5</v>
      </c>
      <c r="E57" s="42"/>
      <c r="F57" s="43"/>
      <c r="G57" s="43"/>
      <c r="H57" s="43"/>
      <c r="I57" s="43"/>
      <c r="J57" s="43"/>
      <c r="K57" s="43"/>
      <c r="L57" s="43"/>
      <c r="M57" s="90"/>
    </row>
    <row r="58" spans="1:13" ht="13.5" customHeight="1">
      <c r="A58" s="32"/>
      <c r="B58" s="85"/>
      <c r="C58" s="86"/>
      <c r="D58" s="77"/>
      <c r="E58" s="78"/>
      <c r="F58" s="78"/>
      <c r="G58" s="78"/>
      <c r="H58" s="78"/>
      <c r="I58" s="78"/>
      <c r="J58" s="511" t="s">
        <v>11</v>
      </c>
      <c r="K58" s="511"/>
      <c r="L58" s="511"/>
      <c r="M58" s="23">
        <f>M53+M54+M55+M56</f>
        <v>3345.85</v>
      </c>
    </row>
    <row r="59" spans="1:13" ht="76.5">
      <c r="A59" s="87">
        <v>13</v>
      </c>
      <c r="B59" s="56" t="s">
        <v>87</v>
      </c>
      <c r="C59" s="40" t="s">
        <v>86</v>
      </c>
      <c r="D59" s="56">
        <v>44.19</v>
      </c>
      <c r="E59" s="97">
        <f>M58</f>
        <v>3345.85</v>
      </c>
      <c r="F59" s="43"/>
      <c r="G59" s="43" t="s">
        <v>12</v>
      </c>
      <c r="H59" s="43">
        <f>D18</f>
        <v>1.55</v>
      </c>
      <c r="I59" s="43" t="s">
        <v>12</v>
      </c>
      <c r="J59" s="493">
        <f>D59</f>
        <v>44.19</v>
      </c>
      <c r="K59" s="493"/>
      <c r="L59" s="43"/>
      <c r="M59" s="71">
        <f>ROUND(E59*H59*J59,2)</f>
        <v>229172.32</v>
      </c>
    </row>
    <row r="60" spans="1:13" ht="12.75">
      <c r="A60" s="505" t="s">
        <v>56</v>
      </c>
      <c r="B60" s="506"/>
      <c r="C60" s="506"/>
      <c r="D60" s="506"/>
      <c r="E60" s="506"/>
      <c r="F60" s="78"/>
      <c r="G60" s="78"/>
      <c r="H60" s="78"/>
      <c r="I60" s="78"/>
      <c r="J60" s="78"/>
      <c r="K60" s="78"/>
      <c r="L60" s="78"/>
      <c r="M60" s="110">
        <f>M59</f>
        <v>229172.32</v>
      </c>
    </row>
    <row r="61" spans="1:13" ht="12.75">
      <c r="A61" s="507" t="s">
        <v>26</v>
      </c>
      <c r="B61" s="508"/>
      <c r="C61" s="508"/>
      <c r="D61" s="509">
        <v>1</v>
      </c>
      <c r="E61" s="509"/>
      <c r="F61" s="43"/>
      <c r="G61" s="43"/>
      <c r="H61" s="43"/>
      <c r="I61" s="43"/>
      <c r="J61" s="43"/>
      <c r="K61" s="43"/>
      <c r="L61" s="43"/>
      <c r="M61" s="111">
        <f>M60*D61</f>
        <v>229172.32</v>
      </c>
    </row>
    <row r="62" spans="1:13" ht="12.75">
      <c r="A62" s="72"/>
      <c r="B62" s="73"/>
      <c r="C62" s="73"/>
      <c r="D62" s="74"/>
      <c r="E62" s="503" t="s">
        <v>44</v>
      </c>
      <c r="F62" s="504"/>
      <c r="G62" s="504"/>
      <c r="H62" s="504"/>
      <c r="I62" s="504"/>
      <c r="J62" s="504"/>
      <c r="K62" s="504"/>
      <c r="L62" s="504"/>
      <c r="M62" s="112">
        <f>M61*0.18</f>
        <v>41251.02</v>
      </c>
    </row>
    <row r="63" spans="1:13" ht="14.25" customHeight="1">
      <c r="A63" s="75"/>
      <c r="B63" s="480" t="s">
        <v>91</v>
      </c>
      <c r="C63" s="480"/>
      <c r="D63" s="480"/>
      <c r="E63" s="480"/>
      <c r="F63" s="480"/>
      <c r="G63" s="480"/>
      <c r="H63" s="480"/>
      <c r="I63" s="480"/>
      <c r="J63" s="480"/>
      <c r="K63" s="480"/>
      <c r="L63" s="480"/>
      <c r="M63" s="112">
        <f>M61+M62</f>
        <v>270423.34</v>
      </c>
    </row>
    <row r="65" spans="2:10" ht="12.75">
      <c r="B65" s="15" t="s">
        <v>325</v>
      </c>
      <c r="C65" s="15"/>
      <c r="D65" s="15"/>
      <c r="J65" s="31" t="s">
        <v>326</v>
      </c>
    </row>
    <row r="66" spans="2:4" ht="12.75">
      <c r="B66" s="15"/>
      <c r="C66" s="15"/>
      <c r="D66" s="15"/>
    </row>
    <row r="67" spans="2:13" ht="15" customHeight="1">
      <c r="B67" s="632"/>
      <c r="C67" s="633"/>
      <c r="D67" s="633"/>
      <c r="E67" s="15"/>
      <c r="F67" s="15"/>
      <c r="G67" s="15"/>
      <c r="H67" s="15"/>
      <c r="I67" s="15"/>
      <c r="J67" s="515"/>
      <c r="K67" s="515"/>
      <c r="L67" s="515"/>
      <c r="M67" s="515"/>
    </row>
    <row r="68" spans="2:4" ht="12.75">
      <c r="B68" s="633"/>
      <c r="C68" s="633"/>
      <c r="D68" s="633"/>
    </row>
    <row r="69" spans="2:4" ht="12.75">
      <c r="B69" s="633"/>
      <c r="C69" s="633"/>
      <c r="D69" s="633"/>
    </row>
    <row r="70" spans="2:4" ht="12.75">
      <c r="B70" s="634"/>
      <c r="C70" s="633"/>
      <c r="D70" s="633"/>
    </row>
    <row r="71" spans="2:4" ht="12.75">
      <c r="B71" s="3"/>
      <c r="C71" s="3"/>
      <c r="D71" s="3"/>
    </row>
  </sheetData>
  <sheetProtection/>
  <mergeCells count="61">
    <mergeCell ref="A7:N7"/>
    <mergeCell ref="A8:N8"/>
    <mergeCell ref="A10:V10"/>
    <mergeCell ref="A11:F11"/>
    <mergeCell ref="A12:F12"/>
    <mergeCell ref="B13:K13"/>
    <mergeCell ref="F1:N1"/>
    <mergeCell ref="F2:N2"/>
    <mergeCell ref="F3:N3"/>
    <mergeCell ref="F4:N4"/>
    <mergeCell ref="F5:N5"/>
    <mergeCell ref="E6:F6"/>
    <mergeCell ref="J67:M67"/>
    <mergeCell ref="E15:L15"/>
    <mergeCell ref="J20:L20"/>
    <mergeCell ref="C14:D14"/>
    <mergeCell ref="E14:L14"/>
    <mergeCell ref="C15:D15"/>
    <mergeCell ref="M28:M29"/>
    <mergeCell ref="B16:M16"/>
    <mergeCell ref="A21:M21"/>
    <mergeCell ref="A22:A25"/>
    <mergeCell ref="B22:B25"/>
    <mergeCell ref="E22:L22"/>
    <mergeCell ref="M22:M23"/>
    <mergeCell ref="E24:L24"/>
    <mergeCell ref="J58:L58"/>
    <mergeCell ref="M24:M25"/>
    <mergeCell ref="M26:M27"/>
    <mergeCell ref="M40:M41"/>
    <mergeCell ref="M30:M31"/>
    <mergeCell ref="M32:M33"/>
    <mergeCell ref="A26:A29"/>
    <mergeCell ref="B26:B29"/>
    <mergeCell ref="E62:L62"/>
    <mergeCell ref="A60:E60"/>
    <mergeCell ref="A61:C61"/>
    <mergeCell ref="E34:L34"/>
    <mergeCell ref="E36:L36"/>
    <mergeCell ref="D61:E61"/>
    <mergeCell ref="E28:L28"/>
    <mergeCell ref="E40:L40"/>
    <mergeCell ref="B30:B33"/>
    <mergeCell ref="J59:K59"/>
    <mergeCell ref="A38:A41"/>
    <mergeCell ref="B38:B41"/>
    <mergeCell ref="E38:L38"/>
    <mergeCell ref="M38:M39"/>
    <mergeCell ref="E32:L32"/>
    <mergeCell ref="C42:L42"/>
    <mergeCell ref="J53:L53"/>
    <mergeCell ref="E30:L30"/>
    <mergeCell ref="E26:L26"/>
    <mergeCell ref="B63:L63"/>
    <mergeCell ref="J55:K55"/>
    <mergeCell ref="A56:A57"/>
    <mergeCell ref="F52:L52"/>
    <mergeCell ref="A30:A33"/>
    <mergeCell ref="C43:L43"/>
    <mergeCell ref="C44:L44"/>
    <mergeCell ref="B56:B57"/>
  </mergeCells>
  <printOptions/>
  <pageMargins left="0.5118110236220472" right="0.31" top="0.35433070866141736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7"/>
  <sheetViews>
    <sheetView view="pageBreakPreview" zoomScaleSheetLayoutView="100" zoomScalePageLayoutView="0" workbookViewId="0" topLeftCell="A49">
      <selection activeCell="E59" sqref="E59:G66"/>
    </sheetView>
  </sheetViews>
  <sheetFormatPr defaultColWidth="9.00390625" defaultRowHeight="12.75"/>
  <cols>
    <col min="1" max="1" width="4.375" style="3" customWidth="1"/>
    <col min="2" max="2" width="44.75390625" style="3" customWidth="1"/>
    <col min="3" max="3" width="10.00390625" style="3" customWidth="1"/>
    <col min="4" max="4" width="16.375" style="3" customWidth="1"/>
    <col min="5" max="5" width="9.625" style="3" customWidth="1"/>
    <col min="6" max="6" width="2.625" style="3" customWidth="1"/>
    <col min="7" max="7" width="10.25390625" style="3" customWidth="1"/>
    <col min="8" max="8" width="13.625" style="3" customWidth="1"/>
    <col min="9" max="16384" width="9.125" style="3" customWidth="1"/>
  </cols>
  <sheetData>
    <row r="1" spans="5:22" ht="17.25" customHeight="1">
      <c r="E1" s="444" t="s">
        <v>317</v>
      </c>
      <c r="F1" s="444"/>
      <c r="G1" s="444"/>
      <c r="H1" s="444"/>
      <c r="I1" s="397"/>
      <c r="J1" s="397"/>
      <c r="K1" s="397"/>
      <c r="L1" s="397"/>
      <c r="M1" s="397"/>
      <c r="N1" s="397"/>
      <c r="O1" s="396"/>
      <c r="P1" s="396"/>
      <c r="Q1" s="396"/>
      <c r="R1" s="396"/>
      <c r="S1" s="396"/>
      <c r="T1" s="396"/>
      <c r="U1" s="396"/>
      <c r="V1" s="396"/>
    </row>
    <row r="2" spans="5:22" ht="13.5" customHeight="1">
      <c r="E2" s="414" t="s">
        <v>318</v>
      </c>
      <c r="F2" s="414"/>
      <c r="G2" s="414"/>
      <c r="H2" s="414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5:22" ht="15" customHeight="1">
      <c r="E3" s="414" t="s">
        <v>319</v>
      </c>
      <c r="F3" s="414"/>
      <c r="G3" s="414"/>
      <c r="H3" s="414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pans="5:22" ht="21.75" customHeight="1">
      <c r="E4" s="414" t="s">
        <v>320</v>
      </c>
      <c r="F4" s="414"/>
      <c r="G4" s="414"/>
      <c r="H4" s="414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</row>
    <row r="5" spans="5:22" ht="19.5" customHeight="1">
      <c r="E5" s="414" t="s">
        <v>321</v>
      </c>
      <c r="F5" s="414"/>
      <c r="G5" s="414"/>
      <c r="H5" s="414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5:6" ht="12.75">
      <c r="E6" s="414"/>
      <c r="F6" s="414"/>
    </row>
    <row r="7" spans="1:22" ht="12.75">
      <c r="A7" s="411" t="s">
        <v>333</v>
      </c>
      <c r="B7" s="411"/>
      <c r="C7" s="411"/>
      <c r="D7" s="411"/>
      <c r="E7" s="411"/>
      <c r="F7" s="411"/>
      <c r="G7" s="411"/>
      <c r="H7" s="411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</row>
    <row r="8" spans="1:22" ht="12.75">
      <c r="A8" s="422" t="s">
        <v>178</v>
      </c>
      <c r="B8" s="422"/>
      <c r="C8" s="422"/>
      <c r="D8" s="422"/>
      <c r="E8" s="422"/>
      <c r="F8" s="422"/>
      <c r="G8" s="422"/>
      <c r="H8" s="422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</row>
    <row r="9" spans="1:6" ht="12.75">
      <c r="A9" s="389"/>
      <c r="B9" s="389"/>
      <c r="C9" s="389"/>
      <c r="D9" s="389"/>
      <c r="E9" s="389"/>
      <c r="F9" s="389"/>
    </row>
    <row r="10" spans="1:22" ht="15.75" customHeight="1">
      <c r="A10" s="413" t="s">
        <v>324</v>
      </c>
      <c r="B10" s="413"/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  <c r="V10" s="413"/>
    </row>
    <row r="11" spans="1:10" ht="13.5" customHeight="1">
      <c r="A11" s="413" t="s">
        <v>322</v>
      </c>
      <c r="B11" s="413"/>
      <c r="C11" s="413"/>
      <c r="D11" s="413"/>
      <c r="E11" s="413"/>
      <c r="F11" s="413"/>
      <c r="G11" s="17"/>
      <c r="H11" s="16"/>
      <c r="I11" s="17"/>
      <c r="J11" s="16"/>
    </row>
    <row r="12" spans="1:10" ht="13.5" customHeight="1">
      <c r="A12" s="413" t="s">
        <v>323</v>
      </c>
      <c r="B12" s="413"/>
      <c r="C12" s="413"/>
      <c r="D12" s="413"/>
      <c r="E12" s="413"/>
      <c r="F12" s="413"/>
      <c r="G12" s="17"/>
      <c r="H12" s="16"/>
      <c r="I12" s="17"/>
      <c r="J12" s="16"/>
    </row>
    <row r="13" spans="1:14" ht="13.5" thickBot="1">
      <c r="A13" s="675" t="s">
        <v>88</v>
      </c>
      <c r="B13" s="676" t="s">
        <v>96</v>
      </c>
      <c r="C13" s="676"/>
      <c r="D13" s="676"/>
      <c r="E13" s="676"/>
      <c r="F13" s="676"/>
      <c r="G13" s="676"/>
      <c r="H13" s="676"/>
      <c r="I13" s="676"/>
      <c r="J13" s="676"/>
      <c r="K13" s="676"/>
      <c r="L13" s="675"/>
      <c r="M13" s="675"/>
      <c r="N13" s="675"/>
    </row>
    <row r="14" spans="1:15" ht="25.5">
      <c r="A14" s="253" t="s">
        <v>28</v>
      </c>
      <c r="B14" s="254" t="s">
        <v>98</v>
      </c>
      <c r="C14" s="254" t="s">
        <v>99</v>
      </c>
      <c r="D14" s="254" t="s">
        <v>100</v>
      </c>
      <c r="E14" s="533" t="s">
        <v>179</v>
      </c>
      <c r="F14" s="534"/>
      <c r="G14" s="535"/>
      <c r="H14" s="255" t="s">
        <v>180</v>
      </c>
      <c r="I14" s="633"/>
      <c r="J14" s="633"/>
      <c r="K14" s="633"/>
      <c r="L14" s="633"/>
      <c r="M14" s="633"/>
      <c r="N14" s="633"/>
      <c r="O14" s="633"/>
    </row>
    <row r="15" spans="1:15" ht="12.75">
      <c r="A15" s="256">
        <v>1</v>
      </c>
      <c r="B15" s="257">
        <v>2</v>
      </c>
      <c r="C15" s="257">
        <v>3</v>
      </c>
      <c r="D15" s="257">
        <v>4</v>
      </c>
      <c r="E15" s="536">
        <v>5</v>
      </c>
      <c r="F15" s="537"/>
      <c r="G15" s="538"/>
      <c r="H15" s="258">
        <v>6</v>
      </c>
      <c r="I15" s="633"/>
      <c r="J15" s="633"/>
      <c r="K15" s="633"/>
      <c r="L15" s="633"/>
      <c r="M15" s="633"/>
      <c r="N15" s="633"/>
      <c r="O15" s="633"/>
    </row>
    <row r="16" spans="1:15" ht="12.75">
      <c r="A16" s="259"/>
      <c r="B16" s="260" t="s">
        <v>103</v>
      </c>
      <c r="C16" s="257"/>
      <c r="D16" s="702"/>
      <c r="E16" s="539"/>
      <c r="F16" s="540"/>
      <c r="G16" s="541"/>
      <c r="H16" s="258"/>
      <c r="I16" s="633"/>
      <c r="J16" s="633"/>
      <c r="K16" s="633"/>
      <c r="L16" s="633"/>
      <c r="M16" s="633"/>
      <c r="N16" s="633"/>
      <c r="O16" s="633"/>
    </row>
    <row r="17" spans="1:15" ht="12.75">
      <c r="A17" s="261"/>
      <c r="B17" s="703" t="s">
        <v>181</v>
      </c>
      <c r="C17" s="704">
        <v>1</v>
      </c>
      <c r="D17" s="705"/>
      <c r="E17" s="542"/>
      <c r="F17" s="543"/>
      <c r="G17" s="544"/>
      <c r="H17" s="262"/>
      <c r="I17" s="633"/>
      <c r="J17" s="633"/>
      <c r="K17" s="633"/>
      <c r="L17" s="633"/>
      <c r="M17" s="633"/>
      <c r="N17" s="633"/>
      <c r="O17" s="633"/>
    </row>
    <row r="18" spans="1:15" ht="12.75">
      <c r="A18" s="261"/>
      <c r="B18" s="703" t="s">
        <v>104</v>
      </c>
      <c r="C18" s="704">
        <v>4</v>
      </c>
      <c r="D18" s="705"/>
      <c r="E18" s="542"/>
      <c r="F18" s="543"/>
      <c r="G18" s="544"/>
      <c r="H18" s="262"/>
      <c r="I18" s="633"/>
      <c r="J18" s="633"/>
      <c r="K18" s="633"/>
      <c r="L18" s="633"/>
      <c r="M18" s="633"/>
      <c r="N18" s="633"/>
      <c r="O18" s="633"/>
    </row>
    <row r="19" spans="1:15" ht="12.75">
      <c r="A19" s="261"/>
      <c r="B19" s="703" t="s">
        <v>182</v>
      </c>
      <c r="C19" s="704">
        <v>1</v>
      </c>
      <c r="D19" s="705"/>
      <c r="E19" s="542"/>
      <c r="F19" s="543"/>
      <c r="G19" s="544"/>
      <c r="H19" s="262"/>
      <c r="I19" s="633"/>
      <c r="J19" s="633"/>
      <c r="K19" s="633"/>
      <c r="L19" s="633"/>
      <c r="M19" s="633"/>
      <c r="N19" s="633"/>
      <c r="O19" s="633"/>
    </row>
    <row r="20" spans="1:15" ht="12.75">
      <c r="A20" s="261"/>
      <c r="B20" s="703" t="s">
        <v>183</v>
      </c>
      <c r="C20" s="706">
        <v>2</v>
      </c>
      <c r="D20" s="705"/>
      <c r="E20" s="542"/>
      <c r="F20" s="543"/>
      <c r="G20" s="544"/>
      <c r="H20" s="262"/>
      <c r="I20" s="633"/>
      <c r="J20" s="633"/>
      <c r="K20" s="633"/>
      <c r="L20" s="633"/>
      <c r="M20" s="633"/>
      <c r="N20" s="633"/>
      <c r="O20" s="633"/>
    </row>
    <row r="21" spans="1:15" ht="12.75">
      <c r="A21" s="261"/>
      <c r="B21" s="703" t="s">
        <v>184</v>
      </c>
      <c r="C21" s="704">
        <v>1</v>
      </c>
      <c r="D21" s="705"/>
      <c r="E21" s="542"/>
      <c r="F21" s="543"/>
      <c r="G21" s="544"/>
      <c r="H21" s="262"/>
      <c r="I21" s="633"/>
      <c r="J21" s="633"/>
      <c r="K21" s="633"/>
      <c r="L21" s="633"/>
      <c r="M21" s="633"/>
      <c r="N21" s="633"/>
      <c r="O21" s="633"/>
    </row>
    <row r="22" spans="1:15" ht="12.75">
      <c r="A22" s="261"/>
      <c r="B22" s="703" t="s">
        <v>185</v>
      </c>
      <c r="C22" s="707">
        <v>0.5</v>
      </c>
      <c r="D22" s="708"/>
      <c r="E22" s="545"/>
      <c r="F22" s="546"/>
      <c r="G22" s="547"/>
      <c r="H22" s="262"/>
      <c r="I22" s="633"/>
      <c r="J22" s="633"/>
      <c r="K22" s="633"/>
      <c r="L22" s="633"/>
      <c r="M22" s="633"/>
      <c r="N22" s="633"/>
      <c r="O22" s="633"/>
    </row>
    <row r="23" spans="1:15" ht="12.75">
      <c r="A23" s="548" t="s">
        <v>186</v>
      </c>
      <c r="B23" s="549"/>
      <c r="C23" s="550"/>
      <c r="D23" s="549"/>
      <c r="E23" s="549"/>
      <c r="F23" s="549"/>
      <c r="G23" s="549"/>
      <c r="H23" s="263"/>
      <c r="I23" s="633"/>
      <c r="J23" s="633"/>
      <c r="K23" s="633"/>
      <c r="L23" s="633"/>
      <c r="M23" s="633"/>
      <c r="N23" s="633"/>
      <c r="O23" s="633"/>
    </row>
    <row r="24" spans="1:15" ht="25.5">
      <c r="A24" s="264">
        <v>1</v>
      </c>
      <c r="B24" s="709" t="s">
        <v>187</v>
      </c>
      <c r="C24" s="710"/>
      <c r="D24" s="711" t="s">
        <v>188</v>
      </c>
      <c r="E24" s="712" t="s">
        <v>189</v>
      </c>
      <c r="F24" s="713"/>
      <c r="G24" s="714"/>
      <c r="H24" s="265">
        <f>(668*C28*C29+49*C18/1000)*C30*C31*C33</f>
        <v>4183.39</v>
      </c>
      <c r="I24" s="633"/>
      <c r="J24" s="633"/>
      <c r="K24" s="633"/>
      <c r="L24" s="633"/>
      <c r="M24" s="633"/>
      <c r="N24" s="633"/>
      <c r="O24" s="633"/>
    </row>
    <row r="25" spans="1:15" ht="12.75">
      <c r="A25" s="266"/>
      <c r="B25" s="715" t="s">
        <v>190</v>
      </c>
      <c r="C25" s="716">
        <f>C17</f>
        <v>1</v>
      </c>
      <c r="D25" s="706" t="s">
        <v>191</v>
      </c>
      <c r="E25" s="717"/>
      <c r="F25" s="718"/>
      <c r="G25" s="719"/>
      <c r="H25" s="265"/>
      <c r="I25" s="633"/>
      <c r="J25" s="633"/>
      <c r="K25" s="633"/>
      <c r="L25" s="633"/>
      <c r="M25" s="633"/>
      <c r="N25" s="633"/>
      <c r="O25" s="633"/>
    </row>
    <row r="26" spans="1:15" ht="12.75">
      <c r="A26" s="266"/>
      <c r="B26" s="715" t="s">
        <v>192</v>
      </c>
      <c r="C26" s="720">
        <f>C18/1000</f>
        <v>0.004</v>
      </c>
      <c r="D26" s="706"/>
      <c r="E26" s="717"/>
      <c r="F26" s="718"/>
      <c r="G26" s="719"/>
      <c r="H26" s="267"/>
      <c r="I26" s="633"/>
      <c r="J26" s="633"/>
      <c r="K26" s="633"/>
      <c r="L26" s="633"/>
      <c r="M26" s="633"/>
      <c r="N26" s="633"/>
      <c r="O26" s="633"/>
    </row>
    <row r="27" spans="1:15" ht="12.75">
      <c r="A27" s="266"/>
      <c r="B27" s="715" t="s">
        <v>193</v>
      </c>
      <c r="C27" s="721">
        <f>C20</f>
        <v>2</v>
      </c>
      <c r="D27" s="706"/>
      <c r="E27" s="717"/>
      <c r="F27" s="718"/>
      <c r="G27" s="719"/>
      <c r="H27" s="267"/>
      <c r="I27" s="633"/>
      <c r="J27" s="633"/>
      <c r="K27" s="633"/>
      <c r="L27" s="633"/>
      <c r="M27" s="633"/>
      <c r="N27" s="633"/>
      <c r="O27" s="633"/>
    </row>
    <row r="28" spans="1:15" ht="12.75">
      <c r="A28" s="266"/>
      <c r="B28" s="715" t="s">
        <v>194</v>
      </c>
      <c r="C28" s="722">
        <f>1+0.1*(C25-1)</f>
        <v>1</v>
      </c>
      <c r="D28" s="706"/>
      <c r="E28" s="717"/>
      <c r="F28" s="718"/>
      <c r="G28" s="719"/>
      <c r="H28" s="267"/>
      <c r="I28" s="633"/>
      <c r="J28" s="633"/>
      <c r="K28" s="633"/>
      <c r="L28" s="633"/>
      <c r="M28" s="633"/>
      <c r="N28" s="633"/>
      <c r="O28" s="633"/>
    </row>
    <row r="29" spans="1:15" ht="12.75">
      <c r="A29" s="266"/>
      <c r="B29" s="715" t="s">
        <v>195</v>
      </c>
      <c r="C29" s="723">
        <f>ROUND((1-0.4*(2-C18/1000)),2)</f>
        <v>0.2</v>
      </c>
      <c r="D29" s="706"/>
      <c r="E29" s="717"/>
      <c r="F29" s="718"/>
      <c r="G29" s="719"/>
      <c r="H29" s="267"/>
      <c r="I29" s="633"/>
      <c r="J29" s="633"/>
      <c r="K29" s="633"/>
      <c r="L29" s="633"/>
      <c r="M29" s="633"/>
      <c r="N29" s="633"/>
      <c r="O29" s="633"/>
    </row>
    <row r="30" spans="1:15" ht="12.75">
      <c r="A30" s="266"/>
      <c r="B30" s="715" t="s">
        <v>196</v>
      </c>
      <c r="C30" s="722">
        <v>1.3</v>
      </c>
      <c r="D30" s="724"/>
      <c r="E30" s="717"/>
      <c r="F30" s="718"/>
      <c r="G30" s="719"/>
      <c r="H30" s="267"/>
      <c r="I30" s="633"/>
      <c r="J30" s="633"/>
      <c r="K30" s="633"/>
      <c r="L30" s="633"/>
      <c r="M30" s="633"/>
      <c r="N30" s="633"/>
      <c r="O30" s="633"/>
    </row>
    <row r="31" spans="1:15" ht="12.75">
      <c r="A31" s="266"/>
      <c r="B31" s="715" t="s">
        <v>197</v>
      </c>
      <c r="C31" s="725">
        <v>1.94</v>
      </c>
      <c r="D31" s="726" t="s">
        <v>198</v>
      </c>
      <c r="E31" s="717"/>
      <c r="F31" s="718"/>
      <c r="G31" s="719"/>
      <c r="H31" s="267"/>
      <c r="I31" s="633"/>
      <c r="J31" s="633"/>
      <c r="K31" s="633"/>
      <c r="L31" s="633"/>
      <c r="M31" s="633"/>
      <c r="N31" s="633"/>
      <c r="O31" s="633"/>
    </row>
    <row r="32" spans="1:15" ht="12.75">
      <c r="A32" s="266"/>
      <c r="B32" s="724"/>
      <c r="C32" s="725"/>
      <c r="D32" s="715" t="s">
        <v>199</v>
      </c>
      <c r="E32" s="717"/>
      <c r="F32" s="718"/>
      <c r="G32" s="719"/>
      <c r="H32" s="267"/>
      <c r="I32" s="633"/>
      <c r="J32" s="633"/>
      <c r="K32" s="633"/>
      <c r="L32" s="633"/>
      <c r="M32" s="633"/>
      <c r="N32" s="633"/>
      <c r="O32" s="633"/>
    </row>
    <row r="33" spans="1:15" ht="12.75">
      <c r="A33" s="266"/>
      <c r="B33" s="727" t="s">
        <v>200</v>
      </c>
      <c r="C33" s="728">
        <v>12.397674</v>
      </c>
      <c r="D33" s="706"/>
      <c r="E33" s="717"/>
      <c r="F33" s="718"/>
      <c r="G33" s="719"/>
      <c r="H33" s="267"/>
      <c r="I33" s="633"/>
      <c r="J33" s="633"/>
      <c r="K33" s="633"/>
      <c r="L33" s="633"/>
      <c r="M33" s="633"/>
      <c r="N33" s="633"/>
      <c r="O33" s="633"/>
    </row>
    <row r="34" spans="1:15" ht="12.75">
      <c r="A34" s="266"/>
      <c r="B34" s="729" t="s">
        <v>201</v>
      </c>
      <c r="C34" s="730"/>
      <c r="D34" s="268"/>
      <c r="E34" s="731"/>
      <c r="F34" s="732"/>
      <c r="G34" s="733"/>
      <c r="H34" s="269">
        <f>SUM(H24:H33)</f>
        <v>4183.39</v>
      </c>
      <c r="I34" s="633"/>
      <c r="J34" s="633"/>
      <c r="K34" s="633"/>
      <c r="L34" s="633"/>
      <c r="M34" s="633"/>
      <c r="N34" s="633"/>
      <c r="O34" s="633"/>
    </row>
    <row r="35" spans="1:15" ht="12.75">
      <c r="A35" s="527" t="s">
        <v>202</v>
      </c>
      <c r="B35" s="528"/>
      <c r="C35" s="528"/>
      <c r="D35" s="528"/>
      <c r="E35" s="528"/>
      <c r="F35" s="528"/>
      <c r="G35" s="529"/>
      <c r="H35" s="270">
        <f>H34</f>
        <v>4183.39</v>
      </c>
      <c r="I35" s="633"/>
      <c r="J35" s="633"/>
      <c r="K35" s="633"/>
      <c r="L35" s="633"/>
      <c r="M35" s="633"/>
      <c r="N35" s="633"/>
      <c r="O35" s="633"/>
    </row>
    <row r="36" spans="1:15" ht="12.75">
      <c r="A36" s="530" t="s">
        <v>203</v>
      </c>
      <c r="B36" s="531"/>
      <c r="C36" s="531"/>
      <c r="D36" s="531"/>
      <c r="E36" s="531"/>
      <c r="F36" s="531"/>
      <c r="G36" s="531"/>
      <c r="H36" s="271"/>
      <c r="I36" s="633"/>
      <c r="J36" s="633"/>
      <c r="K36" s="633"/>
      <c r="L36" s="633"/>
      <c r="M36" s="633"/>
      <c r="N36" s="633"/>
      <c r="O36" s="633"/>
    </row>
    <row r="37" spans="1:15" ht="25.5">
      <c r="A37" s="272">
        <v>2</v>
      </c>
      <c r="B37" s="734" t="s">
        <v>204</v>
      </c>
      <c r="C37" s="735"/>
      <c r="D37" s="736" t="s">
        <v>205</v>
      </c>
      <c r="E37" s="737" t="s">
        <v>206</v>
      </c>
      <c r="F37" s="738"/>
      <c r="G37" s="739"/>
      <c r="H37" s="273"/>
      <c r="I37" s="633"/>
      <c r="J37" s="633"/>
      <c r="K37" s="633"/>
      <c r="L37" s="633"/>
      <c r="M37" s="633"/>
      <c r="N37" s="633"/>
      <c r="O37" s="633"/>
    </row>
    <row r="38" spans="1:15" ht="25.5">
      <c r="A38" s="274"/>
      <c r="B38" s="740" t="s">
        <v>207</v>
      </c>
      <c r="C38" s="741"/>
      <c r="D38" s="704" t="s">
        <v>208</v>
      </c>
      <c r="E38" s="742"/>
      <c r="F38" s="743"/>
      <c r="G38" s="744"/>
      <c r="H38" s="275">
        <f>ROUND(((1363*C41*C42*C44+3431*C40*C45)*C46*C48),2)</f>
        <v>5050.15</v>
      </c>
      <c r="I38" s="633"/>
      <c r="J38" s="633"/>
      <c r="K38" s="633"/>
      <c r="L38" s="633"/>
      <c r="M38" s="633"/>
      <c r="N38" s="633"/>
      <c r="O38" s="633"/>
    </row>
    <row r="39" spans="1:15" ht="13.5">
      <c r="A39" s="276"/>
      <c r="B39" s="745" t="s">
        <v>209</v>
      </c>
      <c r="C39" s="746">
        <v>2</v>
      </c>
      <c r="D39" s="747"/>
      <c r="E39" s="742"/>
      <c r="F39" s="743"/>
      <c r="G39" s="744"/>
      <c r="H39" s="275"/>
      <c r="I39" s="633"/>
      <c r="J39" s="633"/>
      <c r="K39" s="633"/>
      <c r="L39" s="633"/>
      <c r="M39" s="633"/>
      <c r="N39" s="633"/>
      <c r="O39" s="633"/>
    </row>
    <row r="40" spans="1:15" ht="12.75">
      <c r="A40" s="277"/>
      <c r="B40" s="748" t="s">
        <v>210</v>
      </c>
      <c r="C40" s="749">
        <f>C22/100</f>
        <v>0.005</v>
      </c>
      <c r="D40" s="750"/>
      <c r="E40" s="742"/>
      <c r="F40" s="743"/>
      <c r="G40" s="744"/>
      <c r="H40" s="751"/>
      <c r="I40" s="633"/>
      <c r="J40" s="633"/>
      <c r="K40" s="633"/>
      <c r="L40" s="633"/>
      <c r="M40" s="633"/>
      <c r="N40" s="633"/>
      <c r="O40" s="633"/>
    </row>
    <row r="41" spans="1:15" ht="12.75">
      <c r="A41" s="277"/>
      <c r="B41" s="748" t="s">
        <v>211</v>
      </c>
      <c r="C41" s="752">
        <f>ROUND((1-0.9*(1-C18/1000)),2)</f>
        <v>0.1</v>
      </c>
      <c r="D41" s="750"/>
      <c r="E41" s="742"/>
      <c r="F41" s="743"/>
      <c r="G41" s="744"/>
      <c r="H41" s="751"/>
      <c r="I41" s="633"/>
      <c r="J41" s="633"/>
      <c r="K41" s="633"/>
      <c r="L41" s="633"/>
      <c r="M41" s="633"/>
      <c r="N41" s="633"/>
      <c r="O41" s="633"/>
    </row>
    <row r="42" spans="1:15" ht="12.75">
      <c r="A42" s="277"/>
      <c r="B42" s="753" t="s">
        <v>212</v>
      </c>
      <c r="C42" s="754">
        <f>1+0.6*(C43-1)</f>
        <v>1</v>
      </c>
      <c r="D42" s="750"/>
      <c r="E42" s="742"/>
      <c r="F42" s="743"/>
      <c r="G42" s="744"/>
      <c r="H42" s="275"/>
      <c r="I42" s="633"/>
      <c r="J42" s="633"/>
      <c r="K42" s="633"/>
      <c r="L42" s="633"/>
      <c r="M42" s="633"/>
      <c r="N42" s="633"/>
      <c r="O42" s="633"/>
    </row>
    <row r="43" spans="1:15" ht="12.75">
      <c r="A43" s="277"/>
      <c r="B43" s="755" t="s">
        <v>213</v>
      </c>
      <c r="C43" s="756">
        <f>C21</f>
        <v>1</v>
      </c>
      <c r="D43" s="750"/>
      <c r="E43" s="742"/>
      <c r="F43" s="743"/>
      <c r="G43" s="744"/>
      <c r="H43" s="275"/>
      <c r="I43" s="633"/>
      <c r="J43" s="633"/>
      <c r="K43" s="633"/>
      <c r="L43" s="633"/>
      <c r="M43" s="633"/>
      <c r="N43" s="633"/>
      <c r="O43" s="633"/>
    </row>
    <row r="44" spans="1:15" ht="25.5">
      <c r="A44" s="277"/>
      <c r="B44" s="755" t="s">
        <v>214</v>
      </c>
      <c r="C44" s="757">
        <f>1+0.1*(C39-1)</f>
        <v>1.1</v>
      </c>
      <c r="D44" s="750"/>
      <c r="E44" s="742"/>
      <c r="F44" s="743"/>
      <c r="G44" s="744"/>
      <c r="H44" s="275"/>
      <c r="I44" s="633"/>
      <c r="J44" s="633"/>
      <c r="K44" s="633"/>
      <c r="L44" s="633"/>
      <c r="M44" s="633"/>
      <c r="N44" s="633"/>
      <c r="O44" s="633"/>
    </row>
    <row r="45" spans="1:15" ht="12.75">
      <c r="A45" s="277"/>
      <c r="B45" s="748" t="s">
        <v>215</v>
      </c>
      <c r="C45" s="757">
        <v>3.5</v>
      </c>
      <c r="D45" s="750"/>
      <c r="E45" s="742"/>
      <c r="F45" s="743"/>
      <c r="G45" s="744"/>
      <c r="H45" s="275"/>
      <c r="I45" s="633"/>
      <c r="J45" s="633"/>
      <c r="K45" s="633"/>
      <c r="L45" s="633"/>
      <c r="M45" s="633"/>
      <c r="N45" s="633"/>
      <c r="O45" s="633"/>
    </row>
    <row r="46" spans="1:15" ht="12.75">
      <c r="A46" s="277"/>
      <c r="B46" s="758" t="s">
        <v>197</v>
      </c>
      <c r="C46" s="759">
        <v>1.94</v>
      </c>
      <c r="D46" s="760" t="s">
        <v>198</v>
      </c>
      <c r="E46" s="742"/>
      <c r="F46" s="743"/>
      <c r="G46" s="744"/>
      <c r="H46" s="275"/>
      <c r="I46" s="633"/>
      <c r="J46" s="633"/>
      <c r="K46" s="633"/>
      <c r="L46" s="633"/>
      <c r="M46" s="633"/>
      <c r="N46" s="633"/>
      <c r="O46" s="633"/>
    </row>
    <row r="47" spans="1:15" ht="12.75">
      <c r="A47" s="277"/>
      <c r="B47" s="761"/>
      <c r="C47" s="759"/>
      <c r="D47" s="704" t="s">
        <v>199</v>
      </c>
      <c r="E47" s="742"/>
      <c r="F47" s="743"/>
      <c r="G47" s="744"/>
      <c r="H47" s="275"/>
      <c r="I47" s="633"/>
      <c r="J47" s="633"/>
      <c r="K47" s="633"/>
      <c r="L47" s="633"/>
      <c r="M47" s="633"/>
      <c r="N47" s="633"/>
      <c r="O47" s="633"/>
    </row>
    <row r="48" spans="1:15" ht="12.75">
      <c r="A48" s="277"/>
      <c r="B48" s="761" t="s">
        <v>200</v>
      </c>
      <c r="C48" s="762">
        <v>12.397674</v>
      </c>
      <c r="D48" s="750"/>
      <c r="E48" s="742"/>
      <c r="F48" s="743"/>
      <c r="G48" s="744"/>
      <c r="H48" s="275"/>
      <c r="I48" s="633"/>
      <c r="J48" s="633"/>
      <c r="K48" s="633"/>
      <c r="L48" s="633"/>
      <c r="M48" s="633"/>
      <c r="N48" s="633"/>
      <c r="O48" s="633"/>
    </row>
    <row r="49" spans="1:15" ht="12.75">
      <c r="A49" s="274"/>
      <c r="B49" s="740" t="s">
        <v>216</v>
      </c>
      <c r="C49" s="763"/>
      <c r="D49" s="704" t="s">
        <v>217</v>
      </c>
      <c r="E49" s="742" t="s">
        <v>218</v>
      </c>
      <c r="F49" s="743"/>
      <c r="G49" s="744"/>
      <c r="H49" s="275">
        <f>ROUND(((882*C52+11*C51*C53)*C55*C57),2)</f>
        <v>4772.3</v>
      </c>
      <c r="I49" s="633"/>
      <c r="J49" s="633"/>
      <c r="K49" s="633"/>
      <c r="L49" s="633"/>
      <c r="M49" s="633"/>
      <c r="N49" s="633"/>
      <c r="O49" s="633"/>
    </row>
    <row r="50" spans="1:15" ht="13.5">
      <c r="A50" s="276"/>
      <c r="B50" s="745" t="s">
        <v>184</v>
      </c>
      <c r="C50" s="764">
        <f>C21</f>
        <v>1</v>
      </c>
      <c r="D50" s="765"/>
      <c r="E50" s="742"/>
      <c r="F50" s="743"/>
      <c r="G50" s="744"/>
      <c r="H50" s="275"/>
      <c r="I50" s="633"/>
      <c r="J50" s="633"/>
      <c r="K50" s="633"/>
      <c r="L50" s="633"/>
      <c r="M50" s="633"/>
      <c r="N50" s="633"/>
      <c r="O50" s="633"/>
    </row>
    <row r="51" spans="1:15" ht="12.75">
      <c r="A51" s="277"/>
      <c r="B51" s="748" t="s">
        <v>219</v>
      </c>
      <c r="C51" s="766">
        <f>C22*2</f>
        <v>1</v>
      </c>
      <c r="D51" s="750"/>
      <c r="E51" s="742"/>
      <c r="F51" s="743"/>
      <c r="G51" s="744"/>
      <c r="H51" s="275"/>
      <c r="I51" s="633"/>
      <c r="J51" s="633"/>
      <c r="K51" s="633"/>
      <c r="L51" s="633"/>
      <c r="M51" s="633"/>
      <c r="N51" s="633"/>
      <c r="O51" s="633"/>
    </row>
    <row r="52" spans="1:15" ht="12.75">
      <c r="A52" s="277"/>
      <c r="B52" s="748" t="s">
        <v>220</v>
      </c>
      <c r="C52" s="766">
        <f>ROUND((1-0.02*(40-C22)),2)</f>
        <v>0.21</v>
      </c>
      <c r="D52" s="750"/>
      <c r="E52" s="742"/>
      <c r="F52" s="743"/>
      <c r="G52" s="744"/>
      <c r="H52" s="275"/>
      <c r="I52" s="633"/>
      <c r="J52" s="633"/>
      <c r="K52" s="633"/>
      <c r="L52" s="633"/>
      <c r="M52" s="633"/>
      <c r="N52" s="633"/>
      <c r="O52" s="633"/>
    </row>
    <row r="53" spans="1:15" ht="12.75">
      <c r="A53" s="277"/>
      <c r="B53" s="748" t="s">
        <v>221</v>
      </c>
      <c r="C53" s="767">
        <f>1+0.1*(C54-1)</f>
        <v>1.2</v>
      </c>
      <c r="D53" s="768"/>
      <c r="E53" s="742"/>
      <c r="F53" s="743"/>
      <c r="G53" s="744"/>
      <c r="H53" s="275"/>
      <c r="I53" s="633"/>
      <c r="J53" s="633"/>
      <c r="K53" s="633"/>
      <c r="L53" s="633"/>
      <c r="M53" s="633"/>
      <c r="N53" s="633"/>
      <c r="O53" s="633"/>
    </row>
    <row r="54" spans="1:15" ht="12.75">
      <c r="A54" s="277"/>
      <c r="B54" s="748" t="s">
        <v>222</v>
      </c>
      <c r="C54" s="764">
        <v>3</v>
      </c>
      <c r="D54" s="768"/>
      <c r="E54" s="742"/>
      <c r="F54" s="743"/>
      <c r="G54" s="744"/>
      <c r="H54" s="275"/>
      <c r="I54" s="633"/>
      <c r="J54" s="633"/>
      <c r="K54" s="633"/>
      <c r="L54" s="633"/>
      <c r="M54" s="633"/>
      <c r="N54" s="633"/>
      <c r="O54" s="633"/>
    </row>
    <row r="55" spans="1:15" ht="12.75">
      <c r="A55" s="277"/>
      <c r="B55" s="758" t="s">
        <v>197</v>
      </c>
      <c r="C55" s="759">
        <v>1.94</v>
      </c>
      <c r="D55" s="760" t="s">
        <v>198</v>
      </c>
      <c r="E55" s="742"/>
      <c r="F55" s="743"/>
      <c r="G55" s="744"/>
      <c r="H55" s="275"/>
      <c r="I55" s="633"/>
      <c r="J55" s="633"/>
      <c r="K55" s="633"/>
      <c r="L55" s="633"/>
      <c r="M55" s="633"/>
      <c r="N55" s="633"/>
      <c r="O55" s="633"/>
    </row>
    <row r="56" spans="1:15" ht="12.75">
      <c r="A56" s="277"/>
      <c r="B56" s="761"/>
      <c r="C56" s="759"/>
      <c r="D56" s="704" t="s">
        <v>199</v>
      </c>
      <c r="E56" s="742"/>
      <c r="F56" s="743"/>
      <c r="G56" s="744"/>
      <c r="H56" s="275"/>
      <c r="I56" s="633"/>
      <c r="J56" s="633"/>
      <c r="K56" s="633"/>
      <c r="L56" s="633"/>
      <c r="M56" s="633"/>
      <c r="N56" s="633"/>
      <c r="O56" s="633"/>
    </row>
    <row r="57" spans="1:15" ht="12.75">
      <c r="A57" s="277"/>
      <c r="B57" s="761" t="s">
        <v>200</v>
      </c>
      <c r="C57" s="762">
        <v>12.397674</v>
      </c>
      <c r="D57" s="750"/>
      <c r="E57" s="742"/>
      <c r="F57" s="743"/>
      <c r="G57" s="744"/>
      <c r="H57" s="275"/>
      <c r="I57" s="633"/>
      <c r="J57" s="633"/>
      <c r="K57" s="633"/>
      <c r="L57" s="633"/>
      <c r="M57" s="633"/>
      <c r="N57" s="633"/>
      <c r="O57" s="633"/>
    </row>
    <row r="58" spans="1:15" ht="12.75">
      <c r="A58" s="278"/>
      <c r="B58" s="769" t="s">
        <v>223</v>
      </c>
      <c r="C58" s="770"/>
      <c r="D58" s="279"/>
      <c r="E58" s="771"/>
      <c r="F58" s="772"/>
      <c r="G58" s="773"/>
      <c r="H58" s="280">
        <f>SUM(H38:H57)</f>
        <v>9822.45</v>
      </c>
      <c r="I58" s="633"/>
      <c r="J58" s="633"/>
      <c r="K58" s="633"/>
      <c r="L58" s="633"/>
      <c r="M58" s="633"/>
      <c r="N58" s="633"/>
      <c r="O58" s="633"/>
    </row>
    <row r="59" spans="1:15" ht="12.75">
      <c r="A59" s="272">
        <v>3</v>
      </c>
      <c r="B59" s="734" t="s">
        <v>224</v>
      </c>
      <c r="C59" s="774"/>
      <c r="D59" s="775" t="s">
        <v>225</v>
      </c>
      <c r="E59" s="737" t="s">
        <v>226</v>
      </c>
      <c r="F59" s="738"/>
      <c r="G59" s="739"/>
      <c r="H59" s="273">
        <f>ROUND((C62*C60*C61*C63*C65),2)</f>
        <v>27560.03</v>
      </c>
      <c r="I59" s="633"/>
      <c r="J59" s="633"/>
      <c r="K59" s="633"/>
      <c r="L59" s="633"/>
      <c r="M59" s="633"/>
      <c r="N59" s="633"/>
      <c r="O59" s="633"/>
    </row>
    <row r="60" spans="1:15" ht="12.75">
      <c r="A60" s="281"/>
      <c r="B60" s="776" t="s">
        <v>227</v>
      </c>
      <c r="C60" s="777">
        <v>1</v>
      </c>
      <c r="D60" s="778" t="s">
        <v>228</v>
      </c>
      <c r="E60" s="742"/>
      <c r="F60" s="743"/>
      <c r="G60" s="744"/>
      <c r="H60" s="275"/>
      <c r="I60" s="633"/>
      <c r="J60" s="633"/>
      <c r="K60" s="633"/>
      <c r="L60" s="633"/>
      <c r="M60" s="633"/>
      <c r="N60" s="633"/>
      <c r="O60" s="633"/>
    </row>
    <row r="61" spans="1:15" ht="12.75">
      <c r="A61" s="281"/>
      <c r="B61" s="776" t="s">
        <v>229</v>
      </c>
      <c r="C61" s="777">
        <v>10</v>
      </c>
      <c r="D61" s="778"/>
      <c r="E61" s="742"/>
      <c r="F61" s="743"/>
      <c r="G61" s="744"/>
      <c r="H61" s="275"/>
      <c r="I61" s="633"/>
      <c r="J61" s="633"/>
      <c r="K61" s="633"/>
      <c r="L61" s="633"/>
      <c r="M61" s="633"/>
      <c r="N61" s="633"/>
      <c r="O61" s="633"/>
    </row>
    <row r="62" spans="1:15" ht="12.75">
      <c r="A62" s="277"/>
      <c r="B62" s="776" t="s">
        <v>230</v>
      </c>
      <c r="C62" s="705">
        <v>130</v>
      </c>
      <c r="D62" s="779"/>
      <c r="E62" s="742"/>
      <c r="F62" s="743"/>
      <c r="G62" s="744"/>
      <c r="H62" s="275"/>
      <c r="I62" s="633"/>
      <c r="J62" s="633"/>
      <c r="K62" s="633"/>
      <c r="L62" s="633"/>
      <c r="M62" s="633"/>
      <c r="N62" s="633"/>
      <c r="O62" s="633"/>
    </row>
    <row r="63" spans="1:15" ht="12.75">
      <c r="A63" s="277"/>
      <c r="B63" s="715" t="s">
        <v>197</v>
      </c>
      <c r="C63" s="780">
        <v>1.71</v>
      </c>
      <c r="D63" s="781" t="s">
        <v>198</v>
      </c>
      <c r="E63" s="742"/>
      <c r="F63" s="743"/>
      <c r="G63" s="744"/>
      <c r="H63" s="275"/>
      <c r="I63" s="633"/>
      <c r="J63" s="633"/>
      <c r="K63" s="633"/>
      <c r="L63" s="633"/>
      <c r="M63" s="633"/>
      <c r="N63" s="633"/>
      <c r="O63" s="633"/>
    </row>
    <row r="64" spans="1:15" ht="12.75">
      <c r="A64" s="277"/>
      <c r="B64" s="782"/>
      <c r="C64" s="780"/>
      <c r="D64" s="783" t="s">
        <v>199</v>
      </c>
      <c r="E64" s="742"/>
      <c r="F64" s="743"/>
      <c r="G64" s="744"/>
      <c r="H64" s="275"/>
      <c r="I64" s="633"/>
      <c r="J64" s="633"/>
      <c r="K64" s="633"/>
      <c r="L64" s="633"/>
      <c r="M64" s="633"/>
      <c r="N64" s="633"/>
      <c r="O64" s="633"/>
    </row>
    <row r="65" spans="1:15" ht="12.75">
      <c r="A65" s="277"/>
      <c r="B65" s="782" t="s">
        <v>200</v>
      </c>
      <c r="C65" s="784">
        <v>12.397674</v>
      </c>
      <c r="D65" s="779"/>
      <c r="E65" s="742"/>
      <c r="F65" s="743"/>
      <c r="G65" s="744"/>
      <c r="H65" s="275"/>
      <c r="I65" s="633"/>
      <c r="J65" s="633"/>
      <c r="K65" s="633"/>
      <c r="L65" s="633"/>
      <c r="M65" s="633"/>
      <c r="N65" s="633"/>
      <c r="O65" s="633"/>
    </row>
    <row r="66" spans="1:15" ht="12.75">
      <c r="A66" s="278"/>
      <c r="B66" s="769" t="s">
        <v>231</v>
      </c>
      <c r="C66" s="785"/>
      <c r="D66" s="282"/>
      <c r="E66" s="771"/>
      <c r="F66" s="772"/>
      <c r="G66" s="773"/>
      <c r="H66" s="280">
        <f>SUM(H59:H65)</f>
        <v>27560.03</v>
      </c>
      <c r="I66" s="633"/>
      <c r="J66" s="633"/>
      <c r="K66" s="633"/>
      <c r="L66" s="633"/>
      <c r="M66" s="633"/>
      <c r="N66" s="633"/>
      <c r="O66" s="633"/>
    </row>
    <row r="67" spans="1:15" ht="12.75">
      <c r="A67" s="530" t="s">
        <v>232</v>
      </c>
      <c r="B67" s="531"/>
      <c r="C67" s="531"/>
      <c r="D67" s="531"/>
      <c r="E67" s="531"/>
      <c r="F67" s="531"/>
      <c r="G67" s="532"/>
      <c r="H67" s="283">
        <f>+H58+H66</f>
        <v>37382.48</v>
      </c>
      <c r="I67" s="633"/>
      <c r="J67" s="633"/>
      <c r="K67" s="633"/>
      <c r="L67" s="633"/>
      <c r="M67" s="633"/>
      <c r="N67" s="633"/>
      <c r="O67" s="633"/>
    </row>
    <row r="68" spans="1:15" ht="12.75">
      <c r="A68" s="284">
        <v>4</v>
      </c>
      <c r="B68" s="285" t="s">
        <v>233</v>
      </c>
      <c r="C68" s="286"/>
      <c r="D68" s="286"/>
      <c r="E68" s="521"/>
      <c r="F68" s="522"/>
      <c r="G68" s="523"/>
      <c r="H68" s="287">
        <f>H35+H67</f>
        <v>41565.87</v>
      </c>
      <c r="I68" s="633"/>
      <c r="J68" s="633"/>
      <c r="K68" s="633"/>
      <c r="L68" s="633"/>
      <c r="M68" s="633"/>
      <c r="N68" s="633"/>
      <c r="O68" s="633"/>
    </row>
    <row r="69" spans="1:15" ht="12.75">
      <c r="A69" s="284">
        <v>5</v>
      </c>
      <c r="B69" s="285" t="s">
        <v>122</v>
      </c>
      <c r="C69" s="286"/>
      <c r="D69" s="286"/>
      <c r="E69" s="521"/>
      <c r="F69" s="522"/>
      <c r="G69" s="523"/>
      <c r="H69" s="288">
        <f>ROUND(H68,2)</f>
        <v>41565.87</v>
      </c>
      <c r="I69" s="633"/>
      <c r="J69" s="633"/>
      <c r="K69" s="633"/>
      <c r="L69" s="633"/>
      <c r="M69" s="633"/>
      <c r="N69" s="633"/>
      <c r="O69" s="633"/>
    </row>
    <row r="70" spans="1:15" ht="38.25">
      <c r="A70" s="284">
        <v>6</v>
      </c>
      <c r="B70" s="289" t="s">
        <v>16</v>
      </c>
      <c r="C70" s="290">
        <v>0.18</v>
      </c>
      <c r="D70" s="786" t="s">
        <v>234</v>
      </c>
      <c r="E70" s="291">
        <f>H69</f>
        <v>41565.87</v>
      </c>
      <c r="F70" s="291" t="s">
        <v>106</v>
      </c>
      <c r="G70" s="291">
        <v>0.18</v>
      </c>
      <c r="H70" s="283">
        <f>ROUND((H69*G70),2)</f>
        <v>7481.86</v>
      </c>
      <c r="I70" s="633"/>
      <c r="J70" s="633"/>
      <c r="K70" s="633"/>
      <c r="L70" s="633"/>
      <c r="M70" s="633"/>
      <c r="N70" s="633"/>
      <c r="O70" s="633"/>
    </row>
    <row r="71" spans="1:15" ht="12.75">
      <c r="A71" s="524" t="s">
        <v>235</v>
      </c>
      <c r="B71" s="525"/>
      <c r="C71" s="525"/>
      <c r="D71" s="525"/>
      <c r="E71" s="525"/>
      <c r="F71" s="525"/>
      <c r="G71" s="526"/>
      <c r="H71" s="292">
        <f>H69+H70</f>
        <v>49047.73</v>
      </c>
      <c r="I71" s="633"/>
      <c r="J71" s="633"/>
      <c r="K71" s="633"/>
      <c r="L71" s="633"/>
      <c r="M71" s="633"/>
      <c r="N71" s="633"/>
      <c r="O71" s="633"/>
    </row>
    <row r="73" spans="2:7" ht="12.75">
      <c r="B73" s="3" t="s">
        <v>325</v>
      </c>
      <c r="G73" s="3" t="s">
        <v>326</v>
      </c>
    </row>
    <row r="74" spans="2:8" ht="12.75">
      <c r="B74" s="632"/>
      <c r="C74" s="633"/>
      <c r="D74" s="633"/>
      <c r="E74" s="633"/>
      <c r="F74" s="633"/>
      <c r="G74" s="633"/>
      <c r="H74" s="633"/>
    </row>
    <row r="75" spans="2:8" ht="12.75">
      <c r="B75" s="633"/>
      <c r="C75" s="633"/>
      <c r="D75" s="633"/>
      <c r="E75" s="633"/>
      <c r="F75" s="633"/>
      <c r="G75" s="633"/>
      <c r="H75" s="633"/>
    </row>
    <row r="76" spans="2:8" ht="12.75">
      <c r="B76" s="633"/>
      <c r="C76" s="633"/>
      <c r="D76" s="633"/>
      <c r="E76" s="633"/>
      <c r="F76" s="633"/>
      <c r="G76" s="633"/>
      <c r="H76" s="633"/>
    </row>
    <row r="77" spans="2:8" ht="12.75">
      <c r="B77" s="634"/>
      <c r="C77" s="633"/>
      <c r="D77" s="633"/>
      <c r="E77" s="633"/>
      <c r="F77" s="633"/>
      <c r="G77" s="633"/>
      <c r="H77" s="633"/>
    </row>
  </sheetData>
  <sheetProtection/>
  <mergeCells count="26">
    <mergeCell ref="A8:H8"/>
    <mergeCell ref="E6:F6"/>
    <mergeCell ref="E1:H1"/>
    <mergeCell ref="E2:H2"/>
    <mergeCell ref="E3:H3"/>
    <mergeCell ref="E4:H4"/>
    <mergeCell ref="E5:H5"/>
    <mergeCell ref="A7:H7"/>
    <mergeCell ref="A10:V10"/>
    <mergeCell ref="A11:F11"/>
    <mergeCell ref="E14:G14"/>
    <mergeCell ref="E15:G15"/>
    <mergeCell ref="E16:G22"/>
    <mergeCell ref="A23:G23"/>
    <mergeCell ref="A12:F12"/>
    <mergeCell ref="B13:K13"/>
    <mergeCell ref="E24:G34"/>
    <mergeCell ref="E68:G68"/>
    <mergeCell ref="E69:G69"/>
    <mergeCell ref="A71:G71"/>
    <mergeCell ref="A35:G35"/>
    <mergeCell ref="A36:G36"/>
    <mergeCell ref="E37:G48"/>
    <mergeCell ref="E49:G58"/>
    <mergeCell ref="E59:G66"/>
    <mergeCell ref="A67:G67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3"/>
  <sheetViews>
    <sheetView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9.125" style="3" customWidth="1"/>
    <col min="2" max="2" width="32.25390625" style="3" customWidth="1"/>
    <col min="3" max="3" width="9.125" style="3" customWidth="1"/>
    <col min="4" max="4" width="13.375" style="3" customWidth="1"/>
    <col min="5" max="11" width="9.125" style="3" customWidth="1"/>
    <col min="12" max="12" width="5.125" style="3" customWidth="1"/>
    <col min="13" max="13" width="12.625" style="3" customWidth="1"/>
    <col min="14" max="14" width="9.125" style="3" customWidth="1"/>
    <col min="15" max="16384" width="9.125" style="3" customWidth="1"/>
  </cols>
  <sheetData>
    <row r="1" spans="9:22" ht="17.25" customHeight="1">
      <c r="I1" s="444" t="s">
        <v>317</v>
      </c>
      <c r="J1" s="444"/>
      <c r="K1" s="444"/>
      <c r="L1" s="444"/>
      <c r="M1" s="397"/>
      <c r="N1" s="397"/>
      <c r="O1" s="396"/>
      <c r="P1" s="396"/>
      <c r="Q1" s="396"/>
      <c r="R1" s="396"/>
      <c r="S1" s="396"/>
      <c r="T1" s="396"/>
      <c r="U1" s="396"/>
      <c r="V1" s="396"/>
    </row>
    <row r="2" spans="9:22" ht="13.5" customHeight="1">
      <c r="I2" s="414" t="s">
        <v>318</v>
      </c>
      <c r="J2" s="414"/>
      <c r="K2" s="414"/>
      <c r="L2" s="414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9:22" ht="15" customHeight="1">
      <c r="I3" s="414" t="s">
        <v>319</v>
      </c>
      <c r="J3" s="414"/>
      <c r="K3" s="414"/>
      <c r="L3" s="414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pans="9:22" ht="21.75" customHeight="1">
      <c r="I4" s="567" t="s">
        <v>320</v>
      </c>
      <c r="J4" s="567"/>
      <c r="K4" s="567"/>
      <c r="L4" s="567"/>
      <c r="M4" s="567"/>
      <c r="N4" s="76"/>
      <c r="O4" s="76"/>
      <c r="P4" s="76"/>
      <c r="Q4" s="76"/>
      <c r="R4" s="76"/>
      <c r="S4" s="76"/>
      <c r="T4" s="76"/>
      <c r="U4" s="76"/>
      <c r="V4" s="76"/>
    </row>
    <row r="5" spans="9:22" ht="19.5" customHeight="1">
      <c r="I5" s="76" t="s">
        <v>321</v>
      </c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5:6" ht="12.75">
      <c r="E6" s="414"/>
      <c r="F6" s="414"/>
    </row>
    <row r="7" spans="1:22" ht="12.75">
      <c r="A7" s="411" t="s">
        <v>311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395"/>
      <c r="O7" s="395"/>
      <c r="P7" s="395"/>
      <c r="Q7" s="395"/>
      <c r="R7" s="395"/>
      <c r="S7" s="395"/>
      <c r="T7" s="395"/>
      <c r="U7" s="395"/>
      <c r="V7" s="395"/>
    </row>
    <row r="8" spans="1:22" ht="12.75">
      <c r="A8" s="422" t="s">
        <v>334</v>
      </c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398"/>
      <c r="O8" s="398"/>
      <c r="P8" s="398"/>
      <c r="Q8" s="398"/>
      <c r="R8" s="398"/>
      <c r="S8" s="398"/>
      <c r="T8" s="398"/>
      <c r="U8" s="398"/>
      <c r="V8" s="398"/>
    </row>
    <row r="9" spans="1:6" ht="12.75">
      <c r="A9" s="389"/>
      <c r="B9" s="389"/>
      <c r="C9" s="389"/>
      <c r="D9" s="389"/>
      <c r="E9" s="389"/>
      <c r="F9" s="389"/>
    </row>
    <row r="10" spans="1:22" ht="15.75" customHeight="1">
      <c r="A10" s="413" t="s">
        <v>324</v>
      </c>
      <c r="B10" s="413"/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  <c r="V10" s="413"/>
    </row>
    <row r="11" spans="1:10" ht="13.5" customHeight="1">
      <c r="A11" s="413" t="s">
        <v>322</v>
      </c>
      <c r="B11" s="413"/>
      <c r="C11" s="413"/>
      <c r="D11" s="413"/>
      <c r="E11" s="413"/>
      <c r="F11" s="413"/>
      <c r="G11" s="17"/>
      <c r="H11" s="16"/>
      <c r="I11" s="17"/>
      <c r="J11" s="16"/>
    </row>
    <row r="12" spans="1:10" ht="13.5" customHeight="1">
      <c r="A12" s="413" t="s">
        <v>323</v>
      </c>
      <c r="B12" s="413"/>
      <c r="C12" s="413"/>
      <c r="D12" s="413"/>
      <c r="E12" s="413"/>
      <c r="F12" s="413"/>
      <c r="G12" s="17"/>
      <c r="H12" s="16"/>
      <c r="I12" s="17"/>
      <c r="J12" s="16"/>
    </row>
    <row r="13" spans="1:14" ht="12.75">
      <c r="A13" s="675" t="s">
        <v>88</v>
      </c>
      <c r="B13" s="676" t="s">
        <v>96</v>
      </c>
      <c r="C13" s="676"/>
      <c r="D13" s="676"/>
      <c r="E13" s="676"/>
      <c r="F13" s="676"/>
      <c r="G13" s="676"/>
      <c r="H13" s="676"/>
      <c r="I13" s="676"/>
      <c r="J13" s="676"/>
      <c r="K13" s="676"/>
      <c r="L13" s="675"/>
      <c r="M13" s="675"/>
      <c r="N13" s="675"/>
    </row>
    <row r="14" spans="1:13" ht="12.75">
      <c r="A14" s="563" t="s">
        <v>28</v>
      </c>
      <c r="B14" s="557" t="s">
        <v>98</v>
      </c>
      <c r="C14" s="557" t="s">
        <v>99</v>
      </c>
      <c r="D14" s="557" t="s">
        <v>100</v>
      </c>
      <c r="E14" s="559" t="s">
        <v>101</v>
      </c>
      <c r="F14" s="560"/>
      <c r="G14" s="560"/>
      <c r="H14" s="560"/>
      <c r="I14" s="560"/>
      <c r="J14" s="560"/>
      <c r="K14" s="560"/>
      <c r="L14" s="560"/>
      <c r="M14" s="557" t="s">
        <v>275</v>
      </c>
    </row>
    <row r="15" spans="1:13" ht="12.75">
      <c r="A15" s="564"/>
      <c r="B15" s="558"/>
      <c r="C15" s="558"/>
      <c r="D15" s="558"/>
      <c r="E15" s="561"/>
      <c r="F15" s="562"/>
      <c r="G15" s="562"/>
      <c r="H15" s="562"/>
      <c r="I15" s="562"/>
      <c r="J15" s="562"/>
      <c r="K15" s="562"/>
      <c r="L15" s="562"/>
      <c r="M15" s="558"/>
    </row>
    <row r="16" spans="1:13" ht="12.75">
      <c r="A16" s="321">
        <v>1</v>
      </c>
      <c r="B16" s="323">
        <v>2</v>
      </c>
      <c r="C16" s="322">
        <v>3</v>
      </c>
      <c r="D16" s="323">
        <v>4</v>
      </c>
      <c r="E16" s="553">
        <v>5</v>
      </c>
      <c r="F16" s="554"/>
      <c r="G16" s="554"/>
      <c r="H16" s="554"/>
      <c r="I16" s="554"/>
      <c r="J16" s="554"/>
      <c r="K16" s="554"/>
      <c r="L16" s="554"/>
      <c r="M16" s="324">
        <v>6</v>
      </c>
    </row>
    <row r="17" spans="1:13" ht="12.75">
      <c r="A17" s="325"/>
      <c r="B17" s="326" t="s">
        <v>103</v>
      </c>
      <c r="C17" s="322"/>
      <c r="D17" s="327"/>
      <c r="E17" s="328"/>
      <c r="F17" s="328"/>
      <c r="G17" s="328"/>
      <c r="H17" s="328"/>
      <c r="I17" s="328"/>
      <c r="J17" s="328"/>
      <c r="K17" s="328"/>
      <c r="L17" s="328"/>
      <c r="M17" s="324"/>
    </row>
    <row r="18" spans="1:13" ht="15" customHeight="1">
      <c r="A18" s="329"/>
      <c r="B18" s="330" t="s">
        <v>276</v>
      </c>
      <c r="C18" s="331">
        <v>2</v>
      </c>
      <c r="D18" s="332"/>
      <c r="E18" s="333"/>
      <c r="F18" s="333"/>
      <c r="G18" s="333"/>
      <c r="H18" s="333"/>
      <c r="I18" s="333"/>
      <c r="J18" s="333"/>
      <c r="K18" s="333"/>
      <c r="L18" s="333"/>
      <c r="M18" s="334"/>
    </row>
    <row r="19" spans="1:13" ht="17.25" customHeight="1">
      <c r="A19" s="329"/>
      <c r="B19" s="330" t="s">
        <v>277</v>
      </c>
      <c r="C19" s="331">
        <v>1</v>
      </c>
      <c r="D19" s="332"/>
      <c r="E19" s="333"/>
      <c r="F19" s="333"/>
      <c r="G19" s="333"/>
      <c r="H19" s="333"/>
      <c r="I19" s="333"/>
      <c r="J19" s="333"/>
      <c r="K19" s="333"/>
      <c r="L19" s="333"/>
      <c r="M19" s="334"/>
    </row>
    <row r="20" spans="1:13" ht="28.5" customHeight="1">
      <c r="A20" s="329"/>
      <c r="B20" s="330" t="s">
        <v>278</v>
      </c>
      <c r="C20" s="331">
        <v>300</v>
      </c>
      <c r="D20" s="332"/>
      <c r="E20" s="333"/>
      <c r="F20" s="333"/>
      <c r="G20" s="333"/>
      <c r="H20" s="333"/>
      <c r="I20" s="333"/>
      <c r="J20" s="333"/>
      <c r="K20" s="333"/>
      <c r="L20" s="333"/>
      <c r="M20" s="334"/>
    </row>
    <row r="21" spans="1:13" ht="12.75">
      <c r="A21" s="329"/>
      <c r="B21" s="330" t="s">
        <v>307</v>
      </c>
      <c r="C21" s="331">
        <v>1</v>
      </c>
      <c r="D21" s="332"/>
      <c r="E21" s="333"/>
      <c r="F21" s="333"/>
      <c r="G21" s="333"/>
      <c r="H21" s="333"/>
      <c r="I21" s="333"/>
      <c r="J21" s="333"/>
      <c r="K21" s="333"/>
      <c r="L21" s="333"/>
      <c r="M21" s="334"/>
    </row>
    <row r="22" spans="1:13" ht="35.25" customHeight="1">
      <c r="A22" s="329"/>
      <c r="B22" s="330" t="s">
        <v>279</v>
      </c>
      <c r="C22" s="331">
        <v>1</v>
      </c>
      <c r="D22" s="332"/>
      <c r="E22" s="333"/>
      <c r="F22" s="333"/>
      <c r="G22" s="333"/>
      <c r="H22" s="333"/>
      <c r="I22" s="333"/>
      <c r="J22" s="333"/>
      <c r="K22" s="333"/>
      <c r="L22" s="333"/>
      <c r="M22" s="334"/>
    </row>
    <row r="23" spans="1:13" ht="11.25" customHeight="1">
      <c r="A23" s="335" t="s">
        <v>88</v>
      </c>
      <c r="B23" s="336" t="s">
        <v>280</v>
      </c>
      <c r="C23" s="337"/>
      <c r="D23" s="338" t="s">
        <v>88</v>
      </c>
      <c r="E23" s="339" t="s">
        <v>88</v>
      </c>
      <c r="F23" s="340"/>
      <c r="G23" s="340"/>
      <c r="H23" s="341"/>
      <c r="I23" s="340"/>
      <c r="J23" s="340"/>
      <c r="K23" s="340"/>
      <c r="L23" s="340"/>
      <c r="M23" s="342"/>
    </row>
    <row r="24" spans="1:13" ht="27.75" customHeight="1">
      <c r="A24" s="343"/>
      <c r="B24" s="27" t="s">
        <v>281</v>
      </c>
      <c r="C24" s="344">
        <v>167.9</v>
      </c>
      <c r="D24" s="345" t="s">
        <v>282</v>
      </c>
      <c r="E24" s="346">
        <f>C24</f>
        <v>167.9</v>
      </c>
      <c r="F24" s="565" t="s">
        <v>345</v>
      </c>
      <c r="G24" s="565"/>
      <c r="H24" s="566"/>
      <c r="I24" s="347"/>
      <c r="J24" s="347"/>
      <c r="K24" s="347"/>
      <c r="L24" s="347"/>
      <c r="M24" s="348">
        <f>C24*C27*C28*C29*C30*C31*C32*C20/100</f>
        <v>33191.8262894592</v>
      </c>
    </row>
    <row r="25" spans="1:13" ht="24.75" customHeight="1">
      <c r="A25" s="349" t="s">
        <v>283</v>
      </c>
      <c r="B25" s="787" t="s">
        <v>284</v>
      </c>
      <c r="C25" s="350">
        <v>1.25</v>
      </c>
      <c r="D25" s="351"/>
      <c r="E25" s="352"/>
      <c r="F25" s="353"/>
      <c r="G25" s="353"/>
      <c r="H25" s="354"/>
      <c r="I25" s="355"/>
      <c r="J25" s="355"/>
      <c r="K25" s="355"/>
      <c r="L25" s="355"/>
      <c r="M25" s="356"/>
    </row>
    <row r="26" spans="1:13" ht="30.75" customHeight="1">
      <c r="A26" s="357" t="s">
        <v>285</v>
      </c>
      <c r="B26" s="788" t="s">
        <v>286</v>
      </c>
      <c r="C26" s="358">
        <v>1.35</v>
      </c>
      <c r="D26" s="351"/>
      <c r="E26" s="70"/>
      <c r="F26" s="38"/>
      <c r="G26" s="38"/>
      <c r="H26" s="359"/>
      <c r="I26" s="31"/>
      <c r="J26" s="31"/>
      <c r="K26" s="31"/>
      <c r="L26" s="31"/>
      <c r="M26" s="36"/>
    </row>
    <row r="27" spans="1:13" ht="34.5" customHeight="1">
      <c r="A27" s="360" t="s">
        <v>287</v>
      </c>
      <c r="B27" s="73" t="s">
        <v>288</v>
      </c>
      <c r="C27" s="361">
        <v>1.6</v>
      </c>
      <c r="D27" s="351"/>
      <c r="E27" s="70"/>
      <c r="F27" s="38"/>
      <c r="G27" s="38"/>
      <c r="H27" s="359"/>
      <c r="I27" s="31"/>
      <c r="J27" s="31"/>
      <c r="K27" s="31"/>
      <c r="L27" s="31"/>
      <c r="M27" s="36"/>
    </row>
    <row r="28" spans="1:13" ht="26.25" customHeight="1">
      <c r="A28" s="360" t="s">
        <v>289</v>
      </c>
      <c r="B28" s="789" t="s">
        <v>290</v>
      </c>
      <c r="C28" s="362">
        <v>5.92</v>
      </c>
      <c r="D28" s="351"/>
      <c r="E28" s="70"/>
      <c r="F28" s="38"/>
      <c r="G28" s="38"/>
      <c r="H28" s="359"/>
      <c r="I28" s="31"/>
      <c r="J28" s="31"/>
      <c r="K28" s="31"/>
      <c r="L28" s="31"/>
      <c r="M28" s="36"/>
    </row>
    <row r="29" spans="1:13" ht="29.25" customHeight="1">
      <c r="A29" s="360" t="s">
        <v>291</v>
      </c>
      <c r="B29" s="789" t="s">
        <v>292</v>
      </c>
      <c r="C29" s="362">
        <v>1.1</v>
      </c>
      <c r="D29" s="351"/>
      <c r="E29" s="70"/>
      <c r="F29" s="38"/>
      <c r="G29" s="38"/>
      <c r="H29" s="359"/>
      <c r="I29" s="31"/>
      <c r="J29" s="31"/>
      <c r="K29" s="31"/>
      <c r="L29" s="31"/>
      <c r="M29" s="36"/>
    </row>
    <row r="30" spans="1:13" ht="33.75" customHeight="1">
      <c r="A30" s="349" t="s">
        <v>293</v>
      </c>
      <c r="B30" s="787" t="s">
        <v>294</v>
      </c>
      <c r="C30" s="350">
        <v>1.35</v>
      </c>
      <c r="D30" s="351"/>
      <c r="E30" s="70"/>
      <c r="F30" s="38"/>
      <c r="G30" s="38"/>
      <c r="H30" s="359"/>
      <c r="I30" s="31"/>
      <c r="J30" s="31"/>
      <c r="K30" s="31"/>
      <c r="L30" s="31"/>
      <c r="M30" s="36"/>
    </row>
    <row r="31" spans="1:13" ht="51">
      <c r="A31" s="363" t="s">
        <v>346</v>
      </c>
      <c r="B31" s="364" t="s">
        <v>309</v>
      </c>
      <c r="C31" s="365">
        <v>3.84</v>
      </c>
      <c r="D31" s="366" t="s">
        <v>308</v>
      </c>
      <c r="E31" s="367"/>
      <c r="F31" s="367"/>
      <c r="G31" s="367"/>
      <c r="H31" s="367"/>
      <c r="I31" s="367"/>
      <c r="J31" s="367"/>
      <c r="K31" s="367"/>
      <c r="L31" s="367"/>
      <c r="M31" s="368"/>
    </row>
    <row r="32" spans="1:13" ht="12.75">
      <c r="A32" s="369" t="s">
        <v>347</v>
      </c>
      <c r="B32" s="370" t="s">
        <v>295</v>
      </c>
      <c r="C32" s="371">
        <v>1.22</v>
      </c>
      <c r="D32" s="372"/>
      <c r="E32" s="367"/>
      <c r="F32" s="367"/>
      <c r="G32" s="367"/>
      <c r="H32" s="367"/>
      <c r="I32" s="367"/>
      <c r="J32" s="367"/>
      <c r="K32" s="367"/>
      <c r="L32" s="367"/>
      <c r="M32" s="368"/>
    </row>
    <row r="33" spans="1:13" ht="12.75">
      <c r="A33" s="555" t="s">
        <v>296</v>
      </c>
      <c r="B33" s="556"/>
      <c r="C33" s="556"/>
      <c r="D33" s="556"/>
      <c r="E33" s="556"/>
      <c r="F33" s="556"/>
      <c r="G33" s="556"/>
      <c r="H33" s="556"/>
      <c r="I33" s="556"/>
      <c r="J33" s="556"/>
      <c r="K33" s="556"/>
      <c r="L33" s="556"/>
      <c r="M33" s="373">
        <f>M24</f>
        <v>33191.83</v>
      </c>
    </row>
    <row r="34" spans="1:13" ht="16.5" customHeight="1">
      <c r="A34" s="335" t="s">
        <v>88</v>
      </c>
      <c r="B34" s="337" t="s">
        <v>297</v>
      </c>
      <c r="C34" s="790"/>
      <c r="D34" s="791"/>
      <c r="E34" s="339"/>
      <c r="F34" s="340"/>
      <c r="G34" s="340"/>
      <c r="H34" s="340"/>
      <c r="I34" s="340"/>
      <c r="J34" s="340"/>
      <c r="K34" s="340"/>
      <c r="L34" s="340"/>
      <c r="M34" s="342"/>
    </row>
    <row r="35" spans="1:13" ht="18" customHeight="1">
      <c r="A35" s="343"/>
      <c r="B35" s="27" t="s">
        <v>281</v>
      </c>
      <c r="C35" s="374">
        <v>163.2</v>
      </c>
      <c r="D35" s="345" t="s">
        <v>298</v>
      </c>
      <c r="E35" s="346">
        <f>C35</f>
        <v>163.2</v>
      </c>
      <c r="F35" s="565" t="s">
        <v>345</v>
      </c>
      <c r="G35" s="565"/>
      <c r="H35" s="566"/>
      <c r="I35" s="347"/>
      <c r="J35" s="347"/>
      <c r="K35" s="347"/>
      <c r="L35" s="347"/>
      <c r="M35" s="375">
        <f>C35*C38*C39*C40*C41*C42*C43*C20/100</f>
        <v>26444.83</v>
      </c>
    </row>
    <row r="36" spans="1:13" ht="28.5" customHeight="1">
      <c r="A36" s="349" t="s">
        <v>283</v>
      </c>
      <c r="B36" s="787" t="s">
        <v>284</v>
      </c>
      <c r="C36" s="350">
        <v>1.25</v>
      </c>
      <c r="D36" s="351"/>
      <c r="E36" s="346"/>
      <c r="F36" s="347"/>
      <c r="G36" s="347"/>
      <c r="H36" s="347"/>
      <c r="I36" s="347"/>
      <c r="J36" s="347"/>
      <c r="K36" s="347"/>
      <c r="L36" s="347"/>
      <c r="M36" s="375"/>
    </row>
    <row r="37" spans="1:13" ht="26.25" customHeight="1">
      <c r="A37" s="357" t="s">
        <v>285</v>
      </c>
      <c r="B37" s="788" t="s">
        <v>286</v>
      </c>
      <c r="C37" s="358">
        <v>1.35</v>
      </c>
      <c r="D37" s="351"/>
      <c r="E37" s="346"/>
      <c r="F37" s="347"/>
      <c r="G37" s="347"/>
      <c r="H37" s="347"/>
      <c r="I37" s="347"/>
      <c r="J37" s="347"/>
      <c r="K37" s="347"/>
      <c r="L37" s="347"/>
      <c r="M37" s="375"/>
    </row>
    <row r="38" spans="1:13" ht="25.5" customHeight="1">
      <c r="A38" s="360" t="s">
        <v>287</v>
      </c>
      <c r="B38" s="73" t="s">
        <v>288</v>
      </c>
      <c r="C38" s="361">
        <v>1.6</v>
      </c>
      <c r="D38" s="351"/>
      <c r="E38" s="346"/>
      <c r="F38" s="347"/>
      <c r="G38" s="347"/>
      <c r="H38" s="347"/>
      <c r="I38" s="347"/>
      <c r="J38" s="347"/>
      <c r="K38" s="347"/>
      <c r="L38" s="347"/>
      <c r="M38" s="375"/>
    </row>
    <row r="39" spans="1:13" ht="26.25" customHeight="1">
      <c r="A39" s="360" t="s">
        <v>289</v>
      </c>
      <c r="B39" s="789" t="s">
        <v>290</v>
      </c>
      <c r="C39" s="362">
        <v>5.92</v>
      </c>
      <c r="D39" s="351"/>
      <c r="E39" s="346"/>
      <c r="F39" s="347"/>
      <c r="G39" s="347"/>
      <c r="H39" s="347"/>
      <c r="I39" s="347"/>
      <c r="J39" s="347"/>
      <c r="K39" s="347"/>
      <c r="L39" s="347"/>
      <c r="M39" s="375"/>
    </row>
    <row r="40" spans="1:13" ht="30.75" customHeight="1">
      <c r="A40" s="360" t="s">
        <v>291</v>
      </c>
      <c r="B40" s="789" t="s">
        <v>292</v>
      </c>
      <c r="C40" s="362">
        <v>1.1</v>
      </c>
      <c r="D40" s="351"/>
      <c r="E40" s="346"/>
      <c r="F40" s="347"/>
      <c r="G40" s="347"/>
      <c r="H40" s="347"/>
      <c r="I40" s="347"/>
      <c r="J40" s="347"/>
      <c r="K40" s="347"/>
      <c r="L40" s="347"/>
      <c r="M40" s="375"/>
    </row>
    <row r="41" spans="1:13" ht="30" customHeight="1">
      <c r="A41" s="349" t="s">
        <v>293</v>
      </c>
      <c r="B41" s="787" t="s">
        <v>294</v>
      </c>
      <c r="C41" s="350">
        <v>1.35</v>
      </c>
      <c r="D41" s="351"/>
      <c r="E41" s="346"/>
      <c r="F41" s="347"/>
      <c r="G41" s="347"/>
      <c r="H41" s="347"/>
      <c r="I41" s="347"/>
      <c r="J41" s="347"/>
      <c r="K41" s="347"/>
      <c r="L41" s="347"/>
      <c r="M41" s="375"/>
    </row>
    <row r="42" spans="1:13" ht="62.25" customHeight="1">
      <c r="A42" s="363" t="s">
        <v>346</v>
      </c>
      <c r="B42" s="364" t="s">
        <v>309</v>
      </c>
      <c r="C42" s="365">
        <v>3.84</v>
      </c>
      <c r="D42" s="366" t="s">
        <v>310</v>
      </c>
      <c r="E42" s="367"/>
      <c r="F42" s="367"/>
      <c r="G42" s="367"/>
      <c r="H42" s="367"/>
      <c r="I42" s="367"/>
      <c r="J42" s="367"/>
      <c r="K42" s="367"/>
      <c r="L42" s="367"/>
      <c r="M42" s="368"/>
    </row>
    <row r="43" spans="1:13" ht="12.75">
      <c r="A43" s="369" t="s">
        <v>347</v>
      </c>
      <c r="B43" s="370" t="s">
        <v>295</v>
      </c>
      <c r="C43" s="371">
        <v>1</v>
      </c>
      <c r="D43" s="372"/>
      <c r="E43" s="367"/>
      <c r="F43" s="367"/>
      <c r="G43" s="367"/>
      <c r="H43" s="367"/>
      <c r="I43" s="367"/>
      <c r="J43" s="367"/>
      <c r="K43" s="367"/>
      <c r="L43" s="367"/>
      <c r="M43" s="368"/>
    </row>
    <row r="44" spans="1:13" ht="12.75">
      <c r="A44" s="555" t="s">
        <v>299</v>
      </c>
      <c r="B44" s="556"/>
      <c r="C44" s="556"/>
      <c r="D44" s="556"/>
      <c r="E44" s="556"/>
      <c r="F44" s="556"/>
      <c r="G44" s="556"/>
      <c r="H44" s="556"/>
      <c r="I44" s="556"/>
      <c r="J44" s="556"/>
      <c r="K44" s="556"/>
      <c r="L44" s="556"/>
      <c r="M44" s="373">
        <f>M35</f>
        <v>26444.83</v>
      </c>
    </row>
    <row r="45" spans="1:13" ht="12.75">
      <c r="A45" s="555" t="s">
        <v>300</v>
      </c>
      <c r="B45" s="556"/>
      <c r="C45" s="556"/>
      <c r="D45" s="556"/>
      <c r="E45" s="556"/>
      <c r="F45" s="556"/>
      <c r="G45" s="556"/>
      <c r="H45" s="556"/>
      <c r="I45" s="556"/>
      <c r="J45" s="556"/>
      <c r="K45" s="556"/>
      <c r="L45" s="556"/>
      <c r="M45" s="373">
        <f>M33+M44</f>
        <v>59636.66</v>
      </c>
    </row>
    <row r="46" spans="1:13" ht="12.75">
      <c r="A46" s="349"/>
      <c r="B46" s="37" t="s">
        <v>301</v>
      </c>
      <c r="C46" s="344"/>
      <c r="D46" s="376"/>
      <c r="E46" s="347"/>
      <c r="F46" s="347"/>
      <c r="G46" s="347"/>
      <c r="H46" s="347"/>
      <c r="I46" s="347"/>
      <c r="J46" s="347"/>
      <c r="K46" s="347"/>
      <c r="L46" s="347"/>
      <c r="M46" s="375"/>
    </row>
    <row r="47" spans="1:13" ht="14.25">
      <c r="A47" s="349" t="s">
        <v>302</v>
      </c>
      <c r="B47" s="792"/>
      <c r="C47" s="377">
        <v>0.035</v>
      </c>
      <c r="D47" s="376" t="s">
        <v>303</v>
      </c>
      <c r="E47" s="793">
        <f>M45</f>
        <v>59636.66</v>
      </c>
      <c r="F47" s="794"/>
      <c r="G47" s="367" t="s">
        <v>348</v>
      </c>
      <c r="H47" s="378"/>
      <c r="I47" s="347"/>
      <c r="J47" s="347"/>
      <c r="K47" s="347"/>
      <c r="L47" s="347"/>
      <c r="M47" s="375">
        <f>M45*C47</f>
        <v>2087.28</v>
      </c>
    </row>
    <row r="48" spans="1:13" ht="12.75">
      <c r="A48" s="551" t="s">
        <v>304</v>
      </c>
      <c r="B48" s="552"/>
      <c r="C48" s="552"/>
      <c r="D48" s="552"/>
      <c r="E48" s="552"/>
      <c r="F48" s="552"/>
      <c r="G48" s="552"/>
      <c r="H48" s="552"/>
      <c r="I48" s="552"/>
      <c r="J48" s="552"/>
      <c r="K48" s="552"/>
      <c r="L48" s="552"/>
      <c r="M48" s="112">
        <f>M45+M47</f>
        <v>61723.94</v>
      </c>
    </row>
    <row r="49" spans="1:13" ht="12.75">
      <c r="A49" s="379"/>
      <c r="B49" s="379" t="s">
        <v>21</v>
      </c>
      <c r="C49" s="381">
        <v>1</v>
      </c>
      <c r="D49" s="381"/>
      <c r="E49" s="380"/>
      <c r="F49" s="380"/>
      <c r="G49" s="380"/>
      <c r="H49" s="380"/>
      <c r="I49" s="380"/>
      <c r="J49" s="380"/>
      <c r="K49" s="380"/>
      <c r="L49" s="380"/>
      <c r="M49" s="382">
        <f>M48</f>
        <v>61723.94</v>
      </c>
    </row>
    <row r="50" spans="1:13" ht="12.75">
      <c r="A50" s="360"/>
      <c r="B50" s="383" t="s">
        <v>305</v>
      </c>
      <c r="C50" s="319"/>
      <c r="D50" s="384"/>
      <c r="E50" s="384"/>
      <c r="F50" s="384"/>
      <c r="G50" s="384"/>
      <c r="H50" s="384"/>
      <c r="I50" s="384"/>
      <c r="J50" s="384"/>
      <c r="K50" s="384"/>
      <c r="L50" s="384"/>
      <c r="M50" s="385">
        <f>ROUND(M49*0.18,2)</f>
        <v>11110.31</v>
      </c>
    </row>
    <row r="51" spans="1:13" ht="12.75">
      <c r="A51" s="360"/>
      <c r="B51" s="383" t="s">
        <v>306</v>
      </c>
      <c r="C51" s="319"/>
      <c r="D51" s="384"/>
      <c r="E51" s="384"/>
      <c r="F51" s="384"/>
      <c r="G51" s="384"/>
      <c r="H51" s="384"/>
      <c r="I51" s="384"/>
      <c r="J51" s="384"/>
      <c r="K51" s="384"/>
      <c r="L51" s="384"/>
      <c r="M51" s="385">
        <f>M49+M50</f>
        <v>72834.25</v>
      </c>
    </row>
    <row r="52" spans="1:13" ht="12.75">
      <c r="A52" s="386"/>
      <c r="B52" s="31"/>
      <c r="C52" s="320"/>
      <c r="D52" s="31"/>
      <c r="E52" s="31"/>
      <c r="F52" s="31"/>
      <c r="G52" s="31"/>
      <c r="H52" s="31"/>
      <c r="I52" s="31"/>
      <c r="J52" s="31"/>
      <c r="K52" s="31"/>
      <c r="L52" s="31"/>
      <c r="M52" s="31"/>
    </row>
    <row r="53" spans="1:13" ht="12.75">
      <c r="A53" s="386"/>
      <c r="B53" s="31" t="s">
        <v>325</v>
      </c>
      <c r="C53" s="320"/>
      <c r="D53" s="31"/>
      <c r="E53" s="31"/>
      <c r="F53" s="31"/>
      <c r="G53" s="31"/>
      <c r="H53" s="31"/>
      <c r="I53" s="31"/>
      <c r="J53" s="31" t="s">
        <v>326</v>
      </c>
      <c r="K53" s="31"/>
      <c r="L53" s="31"/>
      <c r="M53" s="31"/>
    </row>
  </sheetData>
  <sheetProtection/>
  <mergeCells count="25">
    <mergeCell ref="I4:M4"/>
    <mergeCell ref="E6:F6"/>
    <mergeCell ref="A10:V10"/>
    <mergeCell ref="A11:F11"/>
    <mergeCell ref="A12:F12"/>
    <mergeCell ref="M14:M15"/>
    <mergeCell ref="F24:H24"/>
    <mergeCell ref="A33:L33"/>
    <mergeCell ref="F35:H35"/>
    <mergeCell ref="I1:L1"/>
    <mergeCell ref="I2:L2"/>
    <mergeCell ref="I3:L3"/>
    <mergeCell ref="B13:K13"/>
    <mergeCell ref="A7:M7"/>
    <mergeCell ref="A8:M8"/>
    <mergeCell ref="E47:F47"/>
    <mergeCell ref="A48:L48"/>
    <mergeCell ref="E16:L16"/>
    <mergeCell ref="A44:L44"/>
    <mergeCell ref="A45:L45"/>
    <mergeCell ref="D14:D15"/>
    <mergeCell ref="E14:L15"/>
    <mergeCell ref="A14:A15"/>
    <mergeCell ref="B14:B15"/>
    <mergeCell ref="C14:C15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10.375" style="3" customWidth="1"/>
    <col min="2" max="2" width="13.00390625" style="3" customWidth="1"/>
    <col min="3" max="3" width="70.25390625" style="3" customWidth="1"/>
    <col min="4" max="16384" width="9.125" style="3" customWidth="1"/>
  </cols>
  <sheetData>
    <row r="1" spans="3:4" ht="17.25" customHeight="1">
      <c r="C1" s="394" t="s">
        <v>340</v>
      </c>
      <c r="D1" s="394"/>
    </row>
    <row r="2" spans="3:4" ht="13.5" customHeight="1">
      <c r="C2" s="76" t="s">
        <v>339</v>
      </c>
      <c r="D2" s="76"/>
    </row>
    <row r="3" spans="3:4" ht="15" customHeight="1">
      <c r="C3" s="76" t="s">
        <v>338</v>
      </c>
      <c r="D3" s="76"/>
    </row>
    <row r="4" spans="3:4" ht="21.75" customHeight="1">
      <c r="C4" s="76" t="s">
        <v>336</v>
      </c>
      <c r="D4" s="76"/>
    </row>
    <row r="5" spans="3:4" ht="19.5" customHeight="1">
      <c r="C5" s="76" t="s">
        <v>337</v>
      </c>
      <c r="D5" s="76"/>
    </row>
    <row r="6" spans="5:6" ht="12.75">
      <c r="E6" s="414"/>
      <c r="F6" s="414"/>
    </row>
    <row r="7" spans="5:6" ht="12.75">
      <c r="E7" s="414"/>
      <c r="F7" s="414"/>
    </row>
    <row r="8" spans="1:6" ht="12.75">
      <c r="A8" s="411" t="s">
        <v>341</v>
      </c>
      <c r="B8" s="411"/>
      <c r="C8" s="411"/>
      <c r="D8" s="395"/>
      <c r="E8" s="395"/>
      <c r="F8" s="395"/>
    </row>
    <row r="9" spans="1:6" ht="12.75">
      <c r="A9" s="389"/>
      <c r="B9" s="389"/>
      <c r="C9" s="389"/>
      <c r="D9" s="389"/>
      <c r="E9" s="389"/>
      <c r="F9" s="389"/>
    </row>
    <row r="10" spans="1:10" ht="17.25" customHeight="1">
      <c r="A10" s="412" t="s">
        <v>324</v>
      </c>
      <c r="B10" s="412"/>
      <c r="C10" s="412"/>
      <c r="D10" s="391"/>
      <c r="E10" s="391"/>
      <c r="F10" s="391"/>
      <c r="G10" s="17"/>
      <c r="H10" s="16"/>
      <c r="I10" s="17"/>
      <c r="J10" s="16"/>
    </row>
    <row r="11" spans="1:10" ht="13.5" customHeight="1">
      <c r="A11" s="413" t="s">
        <v>322</v>
      </c>
      <c r="B11" s="413"/>
      <c r="C11" s="413"/>
      <c r="D11" s="413"/>
      <c r="E11" s="413"/>
      <c r="F11" s="413"/>
      <c r="G11" s="17"/>
      <c r="H11" s="16"/>
      <c r="I11" s="17"/>
      <c r="J11" s="16"/>
    </row>
    <row r="12" spans="1:10" ht="13.5" customHeight="1">
      <c r="A12" s="413" t="s">
        <v>323</v>
      </c>
      <c r="B12" s="413"/>
      <c r="C12" s="413"/>
      <c r="D12" s="413"/>
      <c r="E12" s="413"/>
      <c r="F12" s="413"/>
      <c r="G12" s="17"/>
      <c r="H12" s="16"/>
      <c r="I12" s="17"/>
      <c r="J12" s="16"/>
    </row>
    <row r="13" spans="1:10" ht="13.5" customHeight="1">
      <c r="A13" s="392"/>
      <c r="B13" s="392"/>
      <c r="C13" s="392"/>
      <c r="D13" s="392"/>
      <c r="E13" s="392"/>
      <c r="F13" s="392"/>
      <c r="G13" s="17"/>
      <c r="H13" s="16"/>
      <c r="I13" s="17"/>
      <c r="J13" s="16"/>
    </row>
    <row r="14" spans="1:3" ht="25.5">
      <c r="A14" s="294" t="s">
        <v>236</v>
      </c>
      <c r="B14" s="306">
        <f>'См№1 ПР'!V26/1.18</f>
        <v>1936353.81</v>
      </c>
      <c r="C14" s="295" t="s">
        <v>237</v>
      </c>
    </row>
    <row r="15" spans="1:3" ht="12.75">
      <c r="A15" s="294"/>
      <c r="B15" s="307" t="s">
        <v>238</v>
      </c>
      <c r="C15" s="295" t="s">
        <v>239</v>
      </c>
    </row>
    <row r="16" spans="1:3" ht="12.75">
      <c r="A16" s="294" t="s">
        <v>240</v>
      </c>
      <c r="B16" s="308">
        <v>3.84</v>
      </c>
      <c r="C16" s="296" t="s">
        <v>241</v>
      </c>
    </row>
    <row r="17" spans="1:3" ht="25.5">
      <c r="A17" s="294" t="s">
        <v>242</v>
      </c>
      <c r="B17" s="306">
        <f>('См№2 Геодез'!N40+'См№3 Геолог'!N54)/1.18</f>
        <v>582943.12</v>
      </c>
      <c r="C17" s="295" t="s">
        <v>243</v>
      </c>
    </row>
    <row r="18" spans="1:3" ht="12.75">
      <c r="A18" s="294" t="s">
        <v>244</v>
      </c>
      <c r="B18" s="306">
        <f>('См№2 Геодез'!N40+'См№3 Геолог'!N54+'См№4 Экология'!M63)/1.18</f>
        <v>812115.44</v>
      </c>
      <c r="C18" s="295" t="s">
        <v>245</v>
      </c>
    </row>
    <row r="19" spans="1:3" ht="12.75">
      <c r="A19" s="294"/>
      <c r="B19" s="307" t="s">
        <v>238</v>
      </c>
      <c r="C19" s="295" t="s">
        <v>246</v>
      </c>
    </row>
    <row r="20" spans="1:3" ht="12.75">
      <c r="A20" s="294" t="s">
        <v>240</v>
      </c>
      <c r="B20" s="308">
        <v>3.9</v>
      </c>
      <c r="C20" s="296" t="s">
        <v>247</v>
      </c>
    </row>
    <row r="21" spans="1:3" ht="25.5">
      <c r="A21" s="294" t="s">
        <v>248</v>
      </c>
      <c r="B21" s="306">
        <f>B18/B20</f>
        <v>208234.73</v>
      </c>
      <c r="C21" s="295" t="s">
        <v>249</v>
      </c>
    </row>
    <row r="22" spans="1:3" ht="25.5">
      <c r="A22" s="795" t="s">
        <v>250</v>
      </c>
      <c r="B22" s="387">
        <v>3.73</v>
      </c>
      <c r="C22" s="297" t="s">
        <v>251</v>
      </c>
    </row>
    <row r="23" spans="1:3" ht="25.5">
      <c r="A23" s="795" t="s">
        <v>250</v>
      </c>
      <c r="B23" s="387">
        <v>3.73</v>
      </c>
      <c r="C23" s="298" t="s">
        <v>252</v>
      </c>
    </row>
    <row r="24" spans="1:3" ht="12.75">
      <c r="A24" s="795"/>
      <c r="B24" s="306">
        <f>(B17+B21)/1000000</f>
        <v>0.79</v>
      </c>
      <c r="C24" s="295" t="s">
        <v>253</v>
      </c>
    </row>
    <row r="25" spans="1:3" ht="38.25">
      <c r="A25" s="294" t="s">
        <v>254</v>
      </c>
      <c r="B25" s="388">
        <v>0.1665</v>
      </c>
      <c r="C25" s="295" t="s">
        <v>255</v>
      </c>
    </row>
    <row r="26" spans="1:3" ht="12.75">
      <c r="A26" s="294" t="s">
        <v>16</v>
      </c>
      <c r="B26" s="308">
        <v>18</v>
      </c>
      <c r="C26" s="295" t="s">
        <v>256</v>
      </c>
    </row>
    <row r="27" spans="1:3" ht="25.5">
      <c r="A27" s="294" t="s">
        <v>257</v>
      </c>
      <c r="B27" s="308">
        <v>1</v>
      </c>
      <c r="C27" s="295" t="s">
        <v>258</v>
      </c>
    </row>
    <row r="28" spans="1:3" ht="12.75">
      <c r="A28" s="299" t="s">
        <v>69</v>
      </c>
      <c r="B28" s="308">
        <v>1</v>
      </c>
      <c r="C28" s="296" t="s">
        <v>259</v>
      </c>
    </row>
    <row r="29" spans="1:3" ht="13.5">
      <c r="A29" s="300" t="s">
        <v>260</v>
      </c>
      <c r="B29" s="309">
        <f>(B17*B22+B21*B23)*B25*B27*B28+0.01</f>
        <v>491357.06</v>
      </c>
      <c r="C29" s="295" t="s">
        <v>261</v>
      </c>
    </row>
    <row r="30" spans="1:3" ht="12.75">
      <c r="A30" s="301" t="s">
        <v>16</v>
      </c>
      <c r="B30" s="310">
        <f>B29*B26/100-0.01</f>
        <v>88444.26</v>
      </c>
      <c r="C30" s="295" t="s">
        <v>262</v>
      </c>
    </row>
    <row r="31" spans="1:3" ht="12.75">
      <c r="A31" s="302" t="s">
        <v>119</v>
      </c>
      <c r="B31" s="311">
        <f>B29+B30</f>
        <v>579801.32</v>
      </c>
      <c r="C31" s="303" t="s">
        <v>263</v>
      </c>
    </row>
    <row r="32" spans="1:3" ht="12.75">
      <c r="A32" s="304"/>
      <c r="B32" s="305"/>
      <c r="C32" s="304"/>
    </row>
    <row r="33" spans="1:3" ht="12.75">
      <c r="A33" s="304" t="s">
        <v>264</v>
      </c>
      <c r="B33" s="305"/>
      <c r="C33" s="304"/>
    </row>
    <row r="34" spans="1:3" ht="12.75">
      <c r="A34" s="304"/>
      <c r="B34" s="305"/>
      <c r="C34" s="304"/>
    </row>
    <row r="35" spans="1:3" ht="12.75">
      <c r="A35" s="31"/>
      <c r="B35" s="31"/>
      <c r="C35" s="31"/>
    </row>
    <row r="36" spans="1:3" ht="12.75">
      <c r="A36" s="568" t="s">
        <v>325</v>
      </c>
      <c r="B36" s="568"/>
      <c r="C36" s="390" t="s">
        <v>335</v>
      </c>
    </row>
    <row r="37" spans="1:3" ht="12.75">
      <c r="A37" s="293"/>
      <c r="B37" s="293"/>
      <c r="C37" s="293"/>
    </row>
    <row r="38" spans="1:3" ht="12.75">
      <c r="A38" s="569"/>
      <c r="B38" s="569"/>
      <c r="C38" s="113"/>
    </row>
    <row r="39" spans="1:3" ht="12.75">
      <c r="A39" s="15"/>
      <c r="B39" s="15"/>
      <c r="C39" s="113"/>
    </row>
    <row r="40" spans="1:3" ht="12.75">
      <c r="A40" s="569"/>
      <c r="B40" s="569"/>
      <c r="C40" s="113"/>
    </row>
  </sheetData>
  <sheetProtection/>
  <mergeCells count="9">
    <mergeCell ref="A36:B36"/>
    <mergeCell ref="A38:B38"/>
    <mergeCell ref="A40:B40"/>
    <mergeCell ref="E6:F6"/>
    <mergeCell ref="E7:F7"/>
    <mergeCell ref="A11:F11"/>
    <mergeCell ref="A12:F12"/>
    <mergeCell ref="A10:C10"/>
    <mergeCell ref="A8:C8"/>
  </mergeCells>
  <printOptions/>
  <pageMargins left="0.7" right="0.7" top="0.75" bottom="0.75" header="0.3" footer="0.3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Шмыгов Руслан Владимирович</cp:lastModifiedBy>
  <cp:lastPrinted>2016-03-21T13:12:58Z</cp:lastPrinted>
  <dcterms:created xsi:type="dcterms:W3CDTF">2005-04-12T07:03:24Z</dcterms:created>
  <dcterms:modified xsi:type="dcterms:W3CDTF">2016-03-21T13:36:09Z</dcterms:modified>
  <cp:category/>
  <cp:version/>
  <cp:contentType/>
  <cp:contentStatus/>
</cp:coreProperties>
</file>