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757" activeTab="0"/>
  </bookViews>
  <sheets>
    <sheet name="Свод" sheetId="1" r:id="rId1"/>
    <sheet name="См№1 ПР" sheetId="2" r:id="rId2"/>
    <sheet name="См№2 Геодез" sheetId="3" r:id="rId3"/>
    <sheet name="См№3 Геолог" sheetId="4" r:id="rId4"/>
    <sheet name="См№4 Экология" sheetId="5" r:id="rId5"/>
    <sheet name="См№5 Кадастр" sheetId="6" r:id="rId6"/>
    <sheet name="См№6 Обслед" sheetId="7" r:id="rId7"/>
    <sheet name="Экспертиза" sheetId="8" r:id="rId8"/>
  </sheets>
  <definedNames>
    <definedName name="_xlnm.Print_Area" localSheetId="0">'Свод'!$A$1:$F$33</definedName>
    <definedName name="_xlnm.Print_Area" localSheetId="1">'См№1 ПР'!$A$1:$V$47</definedName>
    <definedName name="_xlnm.Print_Area" localSheetId="4">'См№4 Экология'!$A$1:$M$69</definedName>
    <definedName name="_xlnm.Print_Area" localSheetId="6">'См№6 Обслед'!$A$1:$N$54</definedName>
  </definedNames>
  <calcPr fullCalcOnLoad="1" fullPrecision="0"/>
</workbook>
</file>

<file path=xl/sharedStrings.xml><?xml version="1.0" encoding="utf-8"?>
<sst xmlns="http://schemas.openxmlformats.org/spreadsheetml/2006/main" count="567" uniqueCount="377">
  <si>
    <t>№ пп</t>
  </si>
  <si>
    <t>Характеристика предприятия, здания, сооружения или виды работ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</si>
  <si>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</si>
  <si>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>2</t>
  </si>
  <si>
    <t>1</t>
  </si>
  <si>
    <t>СВОДНЫЙ СМЕТНЫЙ РАСЧЕТ</t>
  </si>
  <si>
    <t>№    п/п</t>
  </si>
  <si>
    <t>Перечень выполняемых работ</t>
  </si>
  <si>
    <t>№ сметы</t>
  </si>
  <si>
    <t>Смета № 1</t>
  </si>
  <si>
    <t>Смета № 2</t>
  </si>
  <si>
    <t>Итого</t>
  </si>
  <si>
    <t>*</t>
  </si>
  <si>
    <t>3</t>
  </si>
  <si>
    <t>4</t>
  </si>
  <si>
    <t>Стоимость,                  тыс. руб</t>
  </si>
  <si>
    <t>НДС</t>
  </si>
  <si>
    <t>Смета  №1</t>
  </si>
  <si>
    <t xml:space="preserve">Расчет стоимости: (a+bx)*Ki, или (объем строительно-монтажных работ) * проц./100 или количество x цена </t>
  </si>
  <si>
    <t>Стоимость работ,            рублей</t>
  </si>
  <si>
    <t>Разработка проектно-сметной документации</t>
  </si>
  <si>
    <t>5</t>
  </si>
  <si>
    <t>Договорной коэффициент</t>
  </si>
  <si>
    <t>Полевые работы</t>
  </si>
  <si>
    <t>Камеральные работы</t>
  </si>
  <si>
    <t>Смета № 3</t>
  </si>
  <si>
    <t>Исходные данные:</t>
  </si>
  <si>
    <t>ИТОГО с учетом договорного коэффициента К=</t>
  </si>
  <si>
    <t>Смета № 4</t>
  </si>
  <si>
    <t>на инженерно-экологические работы</t>
  </si>
  <si>
    <t>№ п/п</t>
  </si>
  <si>
    <t>№№ частей, глав таблиц, пунктов указаний к разделу или главе Сборника ценна ПИР для строительства</t>
  </si>
  <si>
    <t>Расчет стоимости (а+в*х), или (Объем СМР)*Х%/200, или                                                               цена (руб)* кол-во</t>
  </si>
  <si>
    <t>Стоимость, руб.</t>
  </si>
  <si>
    <t>К - итоговый (таб. 3 Общ.указ.)</t>
  </si>
  <si>
    <t>полевые работы</t>
  </si>
  <si>
    <t>камеральные работы</t>
  </si>
  <si>
    <t>Таблица 11, §2</t>
  </si>
  <si>
    <t>в том числе полевых работ:</t>
  </si>
  <si>
    <t>камеральных работ:</t>
  </si>
  <si>
    <t>Отбор проб на загрязненность по хим. показателям:</t>
  </si>
  <si>
    <t>Таблица 60</t>
  </si>
  <si>
    <t>Отбор проб для бактериологического анализа:</t>
  </si>
  <si>
    <t xml:space="preserve"> - почвогрунтов, 1проба</t>
  </si>
  <si>
    <t>Расходы на внутрений транспорт</t>
  </si>
  <si>
    <t>Организация и ликвидация работ</t>
  </si>
  <si>
    <t>НДС 18 %</t>
  </si>
  <si>
    <t>Таблица 92, §3</t>
  </si>
  <si>
    <t>Наблюдения при передвижении по маршруту при составлении инженерно-геологической, гидрогеологической, почвенной, инженерно-экологической карты в масштабе 1:2000-1:1000:</t>
  </si>
  <si>
    <t>§10</t>
  </si>
  <si>
    <t>Таблица 70, §85</t>
  </si>
  <si>
    <t>Таблица 70, §60</t>
  </si>
  <si>
    <t>Таблица 70, §63</t>
  </si>
  <si>
    <t>Лабораторные работы</t>
  </si>
  <si>
    <t xml:space="preserve">I. </t>
  </si>
  <si>
    <t xml:space="preserve">Итого Лабораторные работы </t>
  </si>
  <si>
    <t>Составление технического отчета о результатах выполненных работ, кат.сложности - 1</t>
  </si>
  <si>
    <t>Таблица 87, п.1</t>
  </si>
  <si>
    <t>ИТОГО инженерно-экологических работ</t>
  </si>
  <si>
    <t>Инженерно-экологические изыскания</t>
  </si>
  <si>
    <t xml:space="preserve"> - почвогрунтов почво-грунтов (методами конверта, по диагонали и т.п.), 1 проб</t>
  </si>
  <si>
    <t>(</t>
  </si>
  <si>
    <t>+</t>
  </si>
  <si>
    <t>)*</t>
  </si>
  <si>
    <t>Табл. 9, §5</t>
  </si>
  <si>
    <t>Справочник базовых цен на инженерно-геологические и инженерно-экологические изыскания для строительства                               СБЦ103-(1999)</t>
  </si>
  <si>
    <t>Таблица 4, §1</t>
  </si>
  <si>
    <t>Табл. 10, §4</t>
  </si>
  <si>
    <r>
      <t xml:space="preserve">Глава 2, п.5 </t>
    </r>
    <r>
      <rPr>
        <i/>
        <sz val="8"/>
        <rFont val="Times New Roman"/>
        <family val="1"/>
      </rPr>
      <t>(наблюдение при составлении карт узких полос вдоль трасс линейных сооружений)</t>
    </r>
  </si>
  <si>
    <r>
      <t xml:space="preserve">§7
примечание 1 </t>
    </r>
    <r>
      <rPr>
        <i/>
        <sz val="8"/>
        <rFont val="Times New Roman"/>
        <family val="1"/>
      </rPr>
      <t>(отбор объединенной пробы)</t>
    </r>
  </si>
  <si>
    <r>
      <t xml:space="preserve">Единичные определения химического состава грунтов (почв): пробоподготовка для выполнения физико-химических исследований солей тяжелых металлов.              </t>
    </r>
    <r>
      <rPr>
        <i/>
        <sz val="10"/>
        <rFont val="Times New Roman"/>
        <family val="1"/>
      </rPr>
      <t>Измеритель - 1 образец</t>
    </r>
  </si>
  <si>
    <r>
      <t xml:space="preserve">экспресс-определение солей тяжелых металлов ренгенфлюорисцентным методом (1 металл)                            </t>
    </r>
    <r>
      <rPr>
        <i/>
        <sz val="10"/>
        <rFont val="Times New Roman"/>
        <family val="1"/>
      </rPr>
      <t>Измеритель - 1 образец</t>
    </r>
  </si>
  <si>
    <r>
      <t xml:space="preserve">определение нефтяных углеводородов хроматографическим методом                                       </t>
    </r>
    <r>
      <rPr>
        <i/>
        <sz val="10"/>
        <rFont val="Times New Roman"/>
        <family val="1"/>
      </rPr>
      <t>Измеритель - 1 образец</t>
    </r>
  </si>
  <si>
    <t>к Договору №____________________</t>
  </si>
  <si>
    <t>Заказчик:</t>
  </si>
  <si>
    <t>Подрядчик:</t>
  </si>
  <si>
    <t xml:space="preserve">разработки проектной-сметной документации по объекту                                                                             
</t>
  </si>
  <si>
    <t>Ксл</t>
  </si>
  <si>
    <r>
      <t xml:space="preserve">Описание точек наблюдения при составлении инженерно-экологических карт, категория сложности - 2,                        </t>
    </r>
    <r>
      <rPr>
        <i/>
        <sz val="10"/>
        <rFont val="Times New Roman"/>
        <family val="1"/>
      </rPr>
      <t>кол-во точек наблюдения - 1</t>
    </r>
  </si>
  <si>
    <r>
      <t xml:space="preserve">Примечание - </t>
    </r>
    <r>
      <rPr>
        <i/>
        <sz val="10"/>
        <rFont val="Times New Roman"/>
        <family val="1"/>
      </rPr>
      <t xml:space="preserve"> для изысканий со сметной стоимостью до 2 тыс. руб.</t>
    </r>
  </si>
  <si>
    <r>
      <t xml:space="preserve">Радиационное обследование участка площадью: св.1га                                               </t>
    </r>
    <r>
      <rPr>
        <i/>
        <sz val="10"/>
        <rFont val="Times New Roman"/>
        <family val="1"/>
      </rPr>
      <t>Единица измерения, 0,1га</t>
    </r>
  </si>
  <si>
    <t xml:space="preserve">ОУ п.13 </t>
  </si>
  <si>
    <t>6</t>
  </si>
  <si>
    <t>Проектная документация</t>
  </si>
  <si>
    <t>40</t>
  </si>
  <si>
    <t>0,4</t>
  </si>
  <si>
    <t>Рабочаяая документация</t>
  </si>
  <si>
    <t>60</t>
  </si>
  <si>
    <t>0,6</t>
  </si>
  <si>
    <t xml:space="preserve">Итого, рублей </t>
  </si>
  <si>
    <t>к Договору №_________________</t>
  </si>
  <si>
    <t xml:space="preserve">                                  на проектные  работы</t>
  </si>
  <si>
    <t>Наименование предприятия, здания, сооружения, стадии проектирования, этапа, вида проектных или изыскательских работ</t>
  </si>
  <si>
    <t>а,тыс.руб.</t>
  </si>
  <si>
    <t xml:space="preserve">Итого, тыс.руб. </t>
  </si>
  <si>
    <t>7</t>
  </si>
  <si>
    <t xml:space="preserve">Приложение №  </t>
  </si>
  <si>
    <t xml:space="preserve">Главный инженер проекта </t>
  </si>
  <si>
    <t xml:space="preserve">б,тыс.руб. </t>
  </si>
  <si>
    <t>х, Гкал/ч</t>
  </si>
  <si>
    <t>К1 (РК)</t>
  </si>
  <si>
    <t>Разработка раздела ИТМ ГОЧС</t>
  </si>
  <si>
    <t xml:space="preserve">Общие указания 2002г. п.7.14.
СБЦ на проектные работы для строительства.
ИТМ ГОЧС 2006г.
</t>
  </si>
  <si>
    <t xml:space="preserve">Со, тыс.руб. </t>
  </si>
  <si>
    <t>Кис (таб.1)</t>
  </si>
  <si>
    <t>Кго</t>
  </si>
  <si>
    <t>Коб</t>
  </si>
  <si>
    <t>Кпр</t>
  </si>
  <si>
    <t>Кпф (табл.4)</t>
  </si>
  <si>
    <t xml:space="preserve">____________________  </t>
  </si>
  <si>
    <t>8</t>
  </si>
  <si>
    <t>9</t>
  </si>
  <si>
    <t>Письмо Минстроя РФ  №25760-ЮР/08 от 13.08.2015г., 3 кв. 2015г</t>
  </si>
  <si>
    <t>Стоимость работ с учетом районного коэффициента и коэффициента индекса цен</t>
  </si>
  <si>
    <t xml:space="preserve"> </t>
  </si>
  <si>
    <r>
      <t xml:space="preserve">Рекогносцировочное почвенное обследование при проходимости удовлетворительной:                    </t>
    </r>
    <r>
      <rPr>
        <i/>
        <sz val="10"/>
        <rFont val="Times New Roman"/>
        <family val="1"/>
      </rPr>
      <t>протяженность -  0,9км</t>
    </r>
  </si>
  <si>
    <t xml:space="preserve">  Итого в текущих ценах 4кв.2015 г. с договорным коэффициентом и НДС </t>
  </si>
  <si>
    <t>Разработка раздела ОВОС</t>
  </si>
  <si>
    <t>Общие указания 2002г. п.7.15. СБЦ на проектные работы в строительстве "Объекты жилищно-гражданского строительства" (прим.)
ОП п. 1.6,  %</t>
  </si>
  <si>
    <t>от "___" _________________ 2016 г.</t>
  </si>
  <si>
    <t>"___" _______________ 2016 г.</t>
  </si>
  <si>
    <t>"___" _____________ 2016 г.</t>
  </si>
  <si>
    <t xml:space="preserve"> Итого в текущих ценах 4кв.2015 г. с договорным коэффициентом и НДС </t>
  </si>
  <si>
    <t>К - индексации 4кв.2015</t>
  </si>
  <si>
    <t>К3инф.индекс (Письмо Минстроя РФ  №40538-ЕС/05 от 15.12.2015г.)</t>
  </si>
  <si>
    <t>К1инф.индекс (Письмо Минстроя РФ  №40538-ЕС/05 от 15.12.2015г.)</t>
  </si>
  <si>
    <t xml:space="preserve">_________________ </t>
  </si>
  <si>
    <t>___________________</t>
  </si>
  <si>
    <t>"      "____________2016г.</t>
  </si>
  <si>
    <t>Смета №2</t>
  </si>
  <si>
    <t>на выполнение инженерно-геодезических изысканий</t>
  </si>
  <si>
    <t xml:space="preserve">                                                    </t>
  </si>
  <si>
    <t>№ п/п в руб.</t>
  </si>
  <si>
    <t>Виды работ</t>
  </si>
  <si>
    <t>Объемы</t>
  </si>
  <si>
    <t>Обоснование стоимости</t>
  </si>
  <si>
    <t>Расчет стоимости, руб.</t>
  </si>
  <si>
    <t xml:space="preserve">Стоимость   руб </t>
  </si>
  <si>
    <t>Исходные данные</t>
  </si>
  <si>
    <t>Общая площадь участков, га</t>
  </si>
  <si>
    <t xml:space="preserve">СУБЦ –2001
табл.9 § 5                                         прим.4 использ. трассопоискового оборудования                                             </t>
  </si>
  <si>
    <t>х</t>
  </si>
  <si>
    <t>Категория сложности - II</t>
  </si>
  <si>
    <t>К исп. Трассопоискового оборудования</t>
  </si>
  <si>
    <t>п.15а ОУ к=</t>
  </si>
  <si>
    <t>п.15д ОУ к=</t>
  </si>
  <si>
    <t>Всего:</t>
  </si>
  <si>
    <t>полевые</t>
  </si>
  <si>
    <t>камеральные</t>
  </si>
  <si>
    <t>Расходы по внутреннему транспорту при расстоянии до объекта до 5 км.</t>
  </si>
  <si>
    <t xml:space="preserve">СБЦ-2001 г.           Таблица 4 пар. 1                       Общих указаний      </t>
  </si>
  <si>
    <t xml:space="preserve">% </t>
  </si>
  <si>
    <t>от</t>
  </si>
  <si>
    <t>Расходы по организации и ликвидации работ на объекте</t>
  </si>
  <si>
    <r>
      <t>СУБЦ –2001</t>
    </r>
    <r>
      <rPr>
        <sz val="10"/>
        <rFont val="Times New Roman Cyr"/>
        <family val="1"/>
      </rPr>
      <t xml:space="preserve">
п.13 Общих указаний               </t>
    </r>
  </si>
  <si>
    <t>Итого:</t>
  </si>
  <si>
    <t>Стоимость работ с учетом районного коэффициента, коэффициента индекса цен</t>
  </si>
  <si>
    <t xml:space="preserve"> Письмо Минстроя России от 15.12.2015 N 40538-ЕС/05</t>
  </si>
  <si>
    <t>Итого по смете:</t>
  </si>
  <si>
    <t>НДС 18%</t>
  </si>
  <si>
    <t>Итого по смете с НДС:</t>
  </si>
  <si>
    <t>Обоснование</t>
  </si>
  <si>
    <t>Общая цена</t>
  </si>
  <si>
    <t>1991 г.</t>
  </si>
  <si>
    <t>4кв.2015 г.</t>
  </si>
  <si>
    <t>Инженерно-геологические изыскания</t>
  </si>
  <si>
    <t>Смета составлена на основании нормативных документов: "Сборник базовых цен на инженерно-геологические и инженерно-экологические изыскания для строительства", Москва, ПНИИИС Госстроя РФ; "Методическое руководство по определению стоимости инженерных изысканий для строительства", Москва, ПНИИИС Госстроя РФ.</t>
  </si>
  <si>
    <t>К - районный</t>
  </si>
  <si>
    <t>К - индексации</t>
  </si>
  <si>
    <t>Кол-во скважин, шт</t>
  </si>
  <si>
    <t>Глубина проходки, м</t>
  </si>
  <si>
    <t>Общее кол-во скважин, шт</t>
  </si>
  <si>
    <t>Общее количество п. метров</t>
  </si>
  <si>
    <t>Позиция I</t>
  </si>
  <si>
    <r>
      <t xml:space="preserve">Предварительная разбивка скважин, расстояние между сважинами от 200 м.  до 350 м.
II категория сложности                                              скважин, 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шт.</t>
    </r>
  </si>
  <si>
    <t xml:space="preserve">Табл.93, 
прим. § 3
</t>
  </si>
  <si>
    <t>Планово-высотная привязка скважин                     II категории</t>
  </si>
  <si>
    <t>Табл.93, 
прим. § 3</t>
  </si>
  <si>
    <t>Колонковое бурение диаметром до 160 мм глубиной до 15м: порода II категории.</t>
  </si>
  <si>
    <t>Табл. 17, §1</t>
  </si>
  <si>
    <t>Отбор монолитов из скважин  в интервале 0-10 м., шт.</t>
  </si>
  <si>
    <t>Табл. 57, §1.</t>
  </si>
  <si>
    <t>Итого по позиции I</t>
  </si>
  <si>
    <t>Расходы по внутреннему транспорту, расстояние до участка изысканий до 5 км.</t>
  </si>
  <si>
    <t>Табл.4§2.</t>
  </si>
  <si>
    <t>8,75% от стоимости полевых работ</t>
  </si>
  <si>
    <t xml:space="preserve">Расходы по организации и ликвидации работ </t>
  </si>
  <si>
    <t>Общие указания, п. 13, примеч.1</t>
  </si>
  <si>
    <t xml:space="preserve">6% от стоимости полевых работ с учётом п. 6 </t>
  </si>
  <si>
    <t>Позиция II</t>
  </si>
  <si>
    <t xml:space="preserve"> Полный комплекс определения физических свойств глинистых грунтов</t>
  </si>
  <si>
    <t>Табл. 63, §28</t>
  </si>
  <si>
    <t>Определение коррозионной активности грунта по отношению к стали.</t>
  </si>
  <si>
    <t xml:space="preserve">Табл. 75 § 1,2,4 </t>
  </si>
  <si>
    <t xml:space="preserve">Коррозийная активность грунтов по отношению к бетону </t>
  </si>
  <si>
    <t>Табл.75 §5</t>
  </si>
  <si>
    <t>Итого по позиции II</t>
  </si>
  <si>
    <t>Позиция III</t>
  </si>
  <si>
    <t>Сбор изучение и систематизация материалов изысканий прошлых лет, 100м.</t>
  </si>
  <si>
    <t>Табл.78 §1</t>
  </si>
  <si>
    <t>Камеральная обработка буровых работ</t>
  </si>
  <si>
    <t>Табл. 82 § 1</t>
  </si>
  <si>
    <t>Камеральная обработка данных лабораторных исследований</t>
  </si>
  <si>
    <t>Табл. 86, §1</t>
  </si>
  <si>
    <t>Итого по позиции III</t>
  </si>
  <si>
    <t>Позиция IV</t>
  </si>
  <si>
    <t>Составление программы работ</t>
  </si>
  <si>
    <t>Табл. 81, §1, прим. 1</t>
  </si>
  <si>
    <t>500.00 * 1.25</t>
  </si>
  <si>
    <t>Составление технического отчёта</t>
  </si>
  <si>
    <t>Табл. 87, §1</t>
  </si>
  <si>
    <t>21% от п.19</t>
  </si>
  <si>
    <t>Итого по позиции IV</t>
  </si>
  <si>
    <t>Стоимость работ инженерно-геологических изысканий с НДС</t>
  </si>
  <si>
    <t xml:space="preserve">Смета №5 </t>
  </si>
  <si>
    <t>на выполнение кадастровых работ</t>
  </si>
  <si>
    <t>Расчет стоимости</t>
  </si>
  <si>
    <t>Стоимость,  руб.</t>
  </si>
  <si>
    <t>Количество земельных участков</t>
  </si>
  <si>
    <t>Количество категорий земель</t>
  </si>
  <si>
    <t>количество смежных землепользователей</t>
  </si>
  <si>
    <t>Количество муниципальных образований</t>
  </si>
  <si>
    <t>Протяженность трассы. км</t>
  </si>
  <si>
    <t>1 этап: Сбор, анализ исходных материалов.</t>
  </si>
  <si>
    <t>1.1. Этап Сбор исходных материалов и сведений, получение сведений ГКН</t>
  </si>
  <si>
    <t>ОНЗТ-1996г.</t>
  </si>
  <si>
    <t xml:space="preserve">(668*К1а*К2а+49*P/1000)*К4ав* 1,94*12,397674                         </t>
  </si>
  <si>
    <t xml:space="preserve">Количество участков </t>
  </si>
  <si>
    <t xml:space="preserve">Таблица 74 </t>
  </si>
  <si>
    <t>Общая площадь территории, тыс.га</t>
  </si>
  <si>
    <t>Количество смежных землепользователей</t>
  </si>
  <si>
    <t>К1а за колич. участков=1.0+0.10*(n-1)</t>
  </si>
  <si>
    <t>К2а за меньшую площадь=1.0-0,4(2-n)</t>
  </si>
  <si>
    <t>К4ав за колич. смежников=1.0+0.10*n</t>
  </si>
  <si>
    <t>К учета прир.-экон. особенностей</t>
  </si>
  <si>
    <t xml:space="preserve">Приложение 1 п. </t>
  </si>
  <si>
    <t>23,прим.1,2,3</t>
  </si>
  <si>
    <t>Коэффициент-дефлятор</t>
  </si>
  <si>
    <t>Итого по этапу 1.1:</t>
  </si>
  <si>
    <t>ИТОГО по 1-му этапу:</t>
  </si>
  <si>
    <t>2 этап: Оформление прав пользования на земельные участками</t>
  </si>
  <si>
    <t>2.1. Формирование межевых планов земельных участков</t>
  </si>
  <si>
    <t xml:space="preserve">  ОНЗТ-1996г.</t>
  </si>
  <si>
    <t>(1363*К2а*К5а*К6а+3431*L/100*К10в)*1,94*12,397674</t>
  </si>
  <si>
    <t>2.1.1. формирование материалов межевых планов земельных участков</t>
  </si>
  <si>
    <t xml:space="preserve">Таблица 73 </t>
  </si>
  <si>
    <t>Ориентировочное количество участков</t>
  </si>
  <si>
    <t>Протяженность трассы, 100 км</t>
  </si>
  <si>
    <t>К2а за меньшую протяженость=1,0-0,9(1-n)</t>
  </si>
  <si>
    <t>К5а за кол. муниц. Образов.=1.0+0.6*(n-1)</t>
  </si>
  <si>
    <t>где n-количество муниципальных образований</t>
  </si>
  <si>
    <t>К6а за кол-во участков=1.0+0.10(n-1), где n-к-во участков</t>
  </si>
  <si>
    <t>К10в за линейный объект</t>
  </si>
  <si>
    <t>2.1.2. описание и согласование границ</t>
  </si>
  <si>
    <t>Таблица 77</t>
  </si>
  <si>
    <t>(882*К2а+11*L*К5)*1,94*12,397674</t>
  </si>
  <si>
    <t>Протяженность границ, км.</t>
  </si>
  <si>
    <t>К2а за меньшую протяженность=1,0-0,02(40-n)</t>
  </si>
  <si>
    <t>К5в за колич. согл.=1.0+0.10*(n-1)</t>
  </si>
  <si>
    <t>n-количество согласований</t>
  </si>
  <si>
    <t>Итого по этапу 2.1:</t>
  </si>
  <si>
    <t>2.2. Сопровождение постановки на КГУ</t>
  </si>
  <si>
    <t xml:space="preserve"> ОНЗТ-1996г.</t>
  </si>
  <si>
    <t>130*1*8*1,71*12,397674</t>
  </si>
  <si>
    <t>Количество исполнителей</t>
  </si>
  <si>
    <t>Приложение 12</t>
  </si>
  <si>
    <t>Затраты чел/дней</t>
  </si>
  <si>
    <t>Цена 1 чел-дн, руб</t>
  </si>
  <si>
    <t>Итого по этапу 2.2:</t>
  </si>
  <si>
    <t>ИТОГО по 2-му этапу:</t>
  </si>
  <si>
    <t>Итого по этапам:</t>
  </si>
  <si>
    <t>Федеральный закон №117-ФЗ от 07.07.2003г</t>
  </si>
  <si>
    <t>ВСЕГО</t>
  </si>
  <si>
    <t>_____________________</t>
  </si>
  <si>
    <t>Составил: инженер-сметчик</t>
  </si>
  <si>
    <t xml:space="preserve">______________ </t>
  </si>
  <si>
    <t>Проверил: главный инженер проекта</t>
  </si>
  <si>
    <t xml:space="preserve">                                             Подрядчик:</t>
  </si>
  <si>
    <t>____________</t>
  </si>
  <si>
    <t xml:space="preserve">                                                                                         ______________________</t>
  </si>
  <si>
    <t>"____" ____________ 2016 г.</t>
  </si>
  <si>
    <t xml:space="preserve">                                                                                             "____" __________________ 2016 г.</t>
  </si>
  <si>
    <t>Расчет стоимости проведения негосударственной экспертизы
проектной документации и
результатов инженерных изысканий
(нежилые объекты)</t>
  </si>
  <si>
    <t>Спр</t>
  </si>
  <si>
    <t>Стоимость изготовления  проектной документации по договору (без НДС),
рублей</t>
  </si>
  <si>
    <t>4 кв.2015 г.</t>
  </si>
  <si>
    <t>Дата договора на изготовление проектной документации</t>
  </si>
  <si>
    <t>Иизм</t>
  </si>
  <si>
    <t>Индекс изменения стоимости проектных работ для строительства</t>
  </si>
  <si>
    <t>Спр - 2001 г.</t>
  </si>
  <si>
    <t>Стоимость изготовления  проектной документации в ценах 2001 г.,
рублей</t>
  </si>
  <si>
    <t>Сиз</t>
  </si>
  <si>
    <t>Стоимость проведения изыскательских работ по договору (без НДС), рублей</t>
  </si>
  <si>
    <t>Дата договора на проведение изыскательских работ</t>
  </si>
  <si>
    <t>Индекс изменения стоимости изыскательских работ для строительства</t>
  </si>
  <si>
    <t>Сиз - 2001 г.</t>
  </si>
  <si>
    <t>Стоимость проведения изыскательских работ по договору в ценах 2001 г.                               (без НДС), рублей</t>
  </si>
  <si>
    <t>Ki</t>
  </si>
  <si>
    <t>Индекс инфляции на экспертизу проектных работ на 01.01.2015 г. по сравнению с 01.01.2001 г.</t>
  </si>
  <si>
    <t>Индекс инфляции на экспертизу  изыскательских работ на 01.01.2015 г. по сравнению с 01.01.2001 г.</t>
  </si>
  <si>
    <t>Сумма Спд и Сиж (млн. рублей, в ценах 2001 г.)</t>
  </si>
  <si>
    <t>П</t>
  </si>
  <si>
    <t xml:space="preserve">Доля от  суммарной стоимости  проектных и (или) изыскательских работ,
представленных на государственную экспертизу в уровне цен 2001 года,согласно приложению к Постановлению РФ от 05.03.2007 г. № 145 </t>
  </si>
  <si>
    <t>Налог на добавленную стоимость,%</t>
  </si>
  <si>
    <t>Кт</t>
  </si>
  <si>
    <t>Коэффициент трудоемкости экспертизы 
(первичное рассмотрение = 1, повторное = 0,3)</t>
  </si>
  <si>
    <t xml:space="preserve">Коэффициент сложности экспертизы  </t>
  </si>
  <si>
    <t>Сэтек</t>
  </si>
  <si>
    <t>Стоимость проведения экспертизы, рублей</t>
  </si>
  <si>
    <t>рублей (НДС не облагается)</t>
  </si>
  <si>
    <t>рублей</t>
  </si>
  <si>
    <t>Сэтек=(Спр/Иизм*П*Ki* + Спр/Иизм*П*Ki)*Кт*Ксл</t>
  </si>
  <si>
    <t>Согласовано:</t>
  </si>
  <si>
    <t>Директор по капитальному строительству</t>
  </si>
  <si>
    <t xml:space="preserve">Составил инженер-сметчик </t>
  </si>
  <si>
    <t>НДС,       рублей</t>
  </si>
  <si>
    <t>Стоимость работ с НДС,             рублей</t>
  </si>
  <si>
    <t>Инженерно-геодезические изыскания</t>
  </si>
  <si>
    <t>Кадастровые работы</t>
  </si>
  <si>
    <t>Смета № 5</t>
  </si>
  <si>
    <t>Экспертиза проектной документации</t>
  </si>
  <si>
    <t>Расчет</t>
  </si>
  <si>
    <t>Итого в текущих ценах 4кв.2015г с Договорным коэффициентом и НДС</t>
  </si>
  <si>
    <t xml:space="preserve">"Техническое перевооружение котельной по ул. Захарова, 1" </t>
  </si>
  <si>
    <t xml:space="preserve">      Объект:"Техническое перевооружение котельной по ул. Захарова, 1"</t>
  </si>
  <si>
    <r>
      <t xml:space="preserve">Смета №3
</t>
    </r>
    <r>
      <rPr>
        <sz val="10"/>
        <color indexed="8"/>
        <rFont val="Times New Roman"/>
        <family val="1"/>
      </rPr>
      <t xml:space="preserve">  на инженерно-геологические изыскания  для строительства объекта:</t>
    </r>
    <r>
      <rPr>
        <b/>
        <sz val="10"/>
        <color indexed="8"/>
        <rFont val="Times New Roman"/>
        <family val="1"/>
      </rPr>
      <t xml:space="preserve">   "Техническое перевооружение котельной по ул. Захарова, 1"</t>
    </r>
  </si>
  <si>
    <r>
      <t xml:space="preserve">Объект: </t>
    </r>
    <r>
      <rPr>
        <b/>
        <sz val="11"/>
        <rFont val="Times New Roman"/>
        <family val="1"/>
      </rPr>
      <t>«Техническое перевооружение котельной по ул. Захарова, 1»</t>
    </r>
  </si>
  <si>
    <t xml:space="preserve">«Техническое перевооружение котельной по ул. Захарова, 1». 
</t>
  </si>
  <si>
    <t xml:space="preserve">СБЦ НА ПРОЕКТНЫЕ РАБОТЫ ДЛЯ СТРОИТЕЛЬСТВА.  СБЦП07 Коммунальные инженерные сети и сооружения 2012 г. Таблица № 15 §1. Котельная, топливо – газ (мазут), суммарной теплопроизводительностью: от 0,5 до 10 Гкал/ч
</t>
  </si>
  <si>
    <t>Создание инженерно-топографического плана масштаба 1:500 с сечением рельефа  через 0.5 м  на застроенной территории</t>
  </si>
  <si>
    <t>площадь участка,га</t>
  </si>
  <si>
    <t xml:space="preserve">Стоимость выполнения работ рассчитана по «Справочнику базовых цен на проектные работы по обследованию, оценке технического состояния, испытанию и усилению строительных конструкций  зданий, сооружений, грузоподъемных кранов (подъемников) и экспертизе промышленной безопасности опасных производственных объектов" издания 3-е, переработанного  и дополненного, разработанного  ОАО  "Сибпроектстальконструкция", г. Новокузнецк, 2008 г. </t>
  </si>
  <si>
    <t xml:space="preserve">Стоимость,   руб </t>
  </si>
  <si>
    <t>Категория сложности здания</t>
  </si>
  <si>
    <t>Категория сложности работ</t>
  </si>
  <si>
    <t>Объем исследуемого здания (ссоружений),м3</t>
  </si>
  <si>
    <t>Доля выполняемого обследования от полного объёма работ, % (В)</t>
  </si>
  <si>
    <t>1. Обследование</t>
  </si>
  <si>
    <t>Базовая цена работ</t>
  </si>
  <si>
    <t>Таблица 8</t>
  </si>
  <si>
    <r>
      <t>*k</t>
    </r>
    <r>
      <rPr>
        <sz val="8"/>
        <rFont val="Times New Roman"/>
        <family val="1"/>
      </rPr>
      <t>v*</t>
    </r>
    <r>
      <rPr>
        <sz val="10"/>
        <rFont val="Times New Roman"/>
        <family val="1"/>
      </rPr>
      <t>k</t>
    </r>
    <r>
      <rPr>
        <sz val="8"/>
        <rFont val="Times New Roman"/>
        <family val="1"/>
      </rPr>
      <t>у*</t>
    </r>
    <r>
      <rPr>
        <sz val="10"/>
        <rFont val="Times New Roman"/>
        <family val="1"/>
      </rPr>
      <t>k</t>
    </r>
    <r>
      <rPr>
        <sz val="8"/>
        <rFont val="Times New Roman"/>
        <family val="1"/>
      </rPr>
      <t>д*</t>
    </r>
    <r>
      <rPr>
        <sz val="9"/>
        <rFont val="Times New Roman"/>
        <family val="1"/>
      </rPr>
      <t>k</t>
    </r>
    <r>
      <rPr>
        <i/>
        <sz val="8"/>
        <rFont val="Times New Roman"/>
        <family val="1"/>
      </rPr>
      <t>п*</t>
    </r>
    <r>
      <rPr>
        <sz val="9"/>
        <rFont val="Times New Roman"/>
        <family val="1"/>
      </rPr>
      <t>k</t>
    </r>
    <r>
      <rPr>
        <i/>
        <sz val="8"/>
        <rFont val="Times New Roman"/>
        <family val="1"/>
      </rPr>
      <t>инд*</t>
    </r>
    <r>
      <rPr>
        <sz val="9"/>
        <rFont val="Times New Roman"/>
        <family val="1"/>
      </rPr>
      <t>k</t>
    </r>
    <r>
      <rPr>
        <i/>
        <sz val="8"/>
        <rFont val="Times New Roman"/>
        <family val="1"/>
      </rPr>
      <t>рк*V/100</t>
    </r>
  </si>
  <si>
    <r>
      <t>k</t>
    </r>
    <r>
      <rPr>
        <vertAlign val="subscript"/>
        <sz val="10"/>
        <rFont val="Times New Roman"/>
        <family val="1"/>
      </rPr>
      <t xml:space="preserve">2 </t>
    </r>
  </si>
  <si>
    <t xml:space="preserve"> - Обследование без прекращения производства т.3</t>
  </si>
  <si>
    <r>
      <t>k</t>
    </r>
    <r>
      <rPr>
        <vertAlign val="subscript"/>
        <sz val="10"/>
        <rFont val="Times New Roman"/>
        <family val="1"/>
      </rPr>
      <t xml:space="preserve">20 </t>
    </r>
    <r>
      <rPr>
        <sz val="10"/>
        <rFont val="Times New Roman"/>
        <family val="1"/>
      </rPr>
      <t xml:space="preserve"> </t>
    </r>
  </si>
  <si>
    <t xml:space="preserve"> - Инструментально-приборное обследование и диагностика таб.3</t>
  </si>
  <si>
    <r>
      <t>k</t>
    </r>
    <r>
      <rPr>
        <vertAlign val="subscript"/>
        <sz val="10"/>
        <rFont val="Times New Roman"/>
        <family val="1"/>
      </rPr>
      <t>у</t>
    </r>
  </si>
  <si>
    <t>Коэффициент усложняющих факторов при выполнении работ ( п. 2.5)</t>
  </si>
  <si>
    <r>
      <t>k</t>
    </r>
    <r>
      <rPr>
        <vertAlign val="subscript"/>
        <sz val="10"/>
        <rFont val="Times New Roman"/>
        <family val="1"/>
      </rPr>
      <t>v</t>
    </r>
    <r>
      <rPr>
        <sz val="10"/>
        <rFont val="Times New Roman"/>
        <family val="1"/>
      </rPr>
      <t xml:space="preserve"> </t>
    </r>
  </si>
  <si>
    <t xml:space="preserve"> - Коэффициент, учитывающий малые строительный объем (табл.4)</t>
  </si>
  <si>
    <r>
      <t>k</t>
    </r>
    <r>
      <rPr>
        <vertAlign val="subscript"/>
        <sz val="10"/>
        <rFont val="Times New Roman"/>
        <family val="1"/>
      </rPr>
      <t>д</t>
    </r>
    <r>
      <rPr>
        <sz val="10"/>
        <rFont val="Times New Roman"/>
        <family val="1"/>
      </rPr>
      <t xml:space="preserve"> </t>
    </r>
  </si>
  <si>
    <t>Коэффициент, учитывающий отсутствие технической  документации (табл. 5)</t>
  </si>
  <si>
    <r>
      <t>k</t>
    </r>
    <r>
      <rPr>
        <i/>
        <vertAlign val="subscript"/>
        <sz val="10"/>
        <rFont val="Times New Roman"/>
        <family val="1"/>
      </rPr>
      <t>п</t>
    </r>
  </si>
  <si>
    <t xml:space="preserve"> - Коэффициент перехода от цен для работ по промзданиям к ценам работ по сооружениям (п.2.8)</t>
  </si>
  <si>
    <r>
      <t>k</t>
    </r>
    <r>
      <rPr>
        <i/>
        <sz val="8"/>
        <rFont val="Times New Roman"/>
        <family val="1"/>
      </rPr>
      <t>инд</t>
    </r>
  </si>
  <si>
    <r>
      <t>k</t>
    </r>
    <r>
      <rPr>
        <i/>
        <sz val="8"/>
        <rFont val="Times New Roman"/>
        <family val="1"/>
      </rPr>
      <t>рк</t>
    </r>
  </si>
  <si>
    <t xml:space="preserve">  Районный коэффициент </t>
  </si>
  <si>
    <t>ИТОГО по обследованию:</t>
  </si>
  <si>
    <t xml:space="preserve"> 2.Оценка технического состояния</t>
  </si>
  <si>
    <t>Таблица 11</t>
  </si>
  <si>
    <t>ИТОГО по оценке технического состояния</t>
  </si>
  <si>
    <t>ИТОГО по п.п.1, 2</t>
  </si>
  <si>
    <t>3. Стоимость преддоговорных работ</t>
  </si>
  <si>
    <r>
      <t>k</t>
    </r>
    <r>
      <rPr>
        <i/>
        <vertAlign val="subscript"/>
        <sz val="10"/>
        <rFont val="Times New Roman"/>
        <family val="1"/>
      </rPr>
      <t>пд</t>
    </r>
  </si>
  <si>
    <t xml:space="preserve">           п. 2.12                                             </t>
  </si>
  <si>
    <r>
      <t>*k</t>
    </r>
    <r>
      <rPr>
        <i/>
        <sz val="8"/>
        <rFont val="Times New Roman"/>
        <family val="1"/>
      </rPr>
      <t>пд</t>
    </r>
  </si>
  <si>
    <t>ИТОГО :</t>
  </si>
  <si>
    <t xml:space="preserve"> НДС</t>
  </si>
  <si>
    <t>ВСЕГО стоимость в текущих ценах с НДС</t>
  </si>
  <si>
    <t>количество зданий</t>
  </si>
  <si>
    <t xml:space="preserve">Письмо Минстроя РФ  №40538-ЕС/05 от 15.12.2015г. </t>
  </si>
  <si>
    <r>
      <t xml:space="preserve">Коэффициент индексации на 4 кв 2015 г.       </t>
    </r>
    <r>
      <rPr>
        <i/>
        <sz val="10"/>
        <rFont val="Times New Roman"/>
        <family val="1"/>
      </rPr>
      <t xml:space="preserve">                          </t>
    </r>
  </si>
  <si>
    <t>Письмо Минстроя РФ  №40538-ЕС/05 от 15.12.2015г.</t>
  </si>
  <si>
    <t xml:space="preserve"> на работы по инструментально-визуальному обследованию для объекта "Техническое перевооружение котельной по ул. Захарова, 1"</t>
  </si>
  <si>
    <t>Смета №6</t>
  </si>
  <si>
    <t>Обследование</t>
  </si>
  <si>
    <t>Смета № 6</t>
  </si>
  <si>
    <t>Котельная 3,0 Гкал/ч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</si>
</sst>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_(* #,##0.00_);_(* \(#,##0.00\);_(* &quot;-&quot;??_);_(@_)"/>
    <numFmt numFmtId="174" formatCode="_-* #,##0.00000_р_._-;\-* #,##0.00000_р_._-;_-* &quot;-&quot;??_р_._-;_-@_-"/>
    <numFmt numFmtId="175" formatCode="0.0"/>
    <numFmt numFmtId="176" formatCode="#,##0.0"/>
    <numFmt numFmtId="177" formatCode="0.0000"/>
    <numFmt numFmtId="178" formatCode="0.00000"/>
    <numFmt numFmtId="179" formatCode="[$-FC19]d\ mmmm\ yyyy\ &quot;г.&quot;"/>
    <numFmt numFmtId="180" formatCode="_-* #,##0.000000_р_._-;\-* #,##0.000000_р_._-;_-* &quot;-&quot;??_р_._-;_-@_-"/>
    <numFmt numFmtId="181" formatCode="_-* #,##0.0000_р_._-;\-* #,##0.0000_р_._-;_-* &quot;-&quot;??_р_._-;_-@_-"/>
    <numFmt numFmtId="182" formatCode="_-* #,##0.000_р_._-;\-* #,##0.000_р_._-;_-* &quot;-&quot;??_р_._-;_-@_-"/>
    <numFmt numFmtId="183" formatCode="#,##0.000"/>
    <numFmt numFmtId="184" formatCode="#,##0.0000"/>
    <numFmt numFmtId="185" formatCode="0.00000000"/>
    <numFmt numFmtId="186" formatCode="0.0000000"/>
    <numFmt numFmtId="187" formatCode="0.000000"/>
    <numFmt numFmtId="188" formatCode="0.000000000"/>
    <numFmt numFmtId="189" formatCode="0.0000000000"/>
    <numFmt numFmtId="190" formatCode="0.00000000000"/>
    <numFmt numFmtId="191" formatCode="0.000000000000"/>
    <numFmt numFmtId="192" formatCode="0.0000000000000"/>
    <numFmt numFmtId="193" formatCode="dd/mm/yyyy&quot; г.&quot;"/>
    <numFmt numFmtId="194" formatCode="#,##0.00000"/>
    <numFmt numFmtId="195" formatCode="#,##0.000000"/>
    <numFmt numFmtId="196" formatCode="_(* #,##0.000_);_(* \(#,##0.000\);_(* &quot;-&quot;??_);_(@_)"/>
    <numFmt numFmtId="197" formatCode="_(* #,##0.0000_);_(* \(#,##0.0000\);_(* &quot;-&quot;??_);_(@_)"/>
    <numFmt numFmtId="198" formatCode="_(* #,##0.00000_);_(* \(#,##0.00000\);_(* &quot;-&quot;??_);_(@_)"/>
    <numFmt numFmtId="199" formatCode="_(* #,##0.000000_);_(* \(#,##0.000000\);_(* &quot;-&quot;??_);_(@_)"/>
    <numFmt numFmtId="200" formatCode="_(* #,##0.0000000_);_(* \(#,##0.0000000\);_(* &quot;-&quot;??_);_(@_)"/>
    <numFmt numFmtId="201" formatCode="_(* #,##0.00000000_);_(* \(#,##0.00000000\);_(* &quot;-&quot;??_);_(@_)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_(* #,##0.000000000_);_(* \(#,##0.000000000\);_(* &quot;-&quot;??_);_(@_)"/>
    <numFmt numFmtId="207" formatCode="0.000000000000000"/>
    <numFmt numFmtId="208" formatCode="0.000000000000000000"/>
    <numFmt numFmtId="209" formatCode="_-* #,##0\ _р_._-;\-* #,##0\ _р_._-;_-* &quot;-&quot;\ _р_._-;_-@_-"/>
  </numFmts>
  <fonts count="9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6"/>
      <name val="Arial Cyr"/>
      <family val="0"/>
    </font>
    <font>
      <sz val="10"/>
      <name val="Helv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 Cyr"/>
      <family val="1"/>
    </font>
    <font>
      <sz val="8"/>
      <name val="Arial Cyr"/>
      <family val="2"/>
    </font>
    <font>
      <b/>
      <sz val="8"/>
      <name val="Arial Cyr"/>
      <family val="0"/>
    </font>
    <font>
      <b/>
      <sz val="10"/>
      <name val="Times New Roman Cyr"/>
      <family val="0"/>
    </font>
    <font>
      <sz val="7"/>
      <name val="Times New Roman Cyr"/>
      <family val="1"/>
    </font>
    <font>
      <sz val="7"/>
      <name val="Arial Cyr"/>
      <family val="0"/>
    </font>
    <font>
      <sz val="9"/>
      <name val="Arial Cyr"/>
      <family val="0"/>
    </font>
    <font>
      <u val="single"/>
      <sz val="10"/>
      <name val="Times New Roman Cyr"/>
      <family val="1"/>
    </font>
    <font>
      <i/>
      <sz val="10"/>
      <name val="Times New Roman Cyr"/>
      <family val="1"/>
    </font>
    <font>
      <b/>
      <u val="single"/>
      <sz val="10"/>
      <name val="Times New Roman Cyr"/>
      <family val="1"/>
    </font>
    <font>
      <sz val="13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Arial Cyr"/>
      <family val="2"/>
    </font>
    <font>
      <vertAlign val="subscript"/>
      <sz val="10"/>
      <name val="Times New Roman"/>
      <family val="1"/>
    </font>
    <font>
      <i/>
      <vertAlign val="sub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4"/>
      <name val="Times New Roman"/>
      <family val="1"/>
    </font>
    <font>
      <sz val="8"/>
      <color indexed="8"/>
      <name val="Calibri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D60093"/>
      <name val="Times New Roman"/>
      <family val="1"/>
    </font>
    <font>
      <sz val="8"/>
      <color theme="1"/>
      <name val="Calibri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/>
    </border>
    <border>
      <left style="thin"/>
      <right style="medium"/>
      <top/>
      <bottom/>
    </border>
    <border>
      <left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>
        <color indexed="8"/>
      </right>
      <top/>
      <bottom style="thin"/>
    </border>
    <border>
      <left style="medium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/>
      <top style="thin"/>
      <bottom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 style="thin"/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/>
      <top/>
      <bottom style="thin">
        <color indexed="8"/>
      </bottom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3" fillId="0" borderId="0" applyNumberFormat="0" applyFont="0" applyFill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14" fillId="0" borderId="0">
      <alignment/>
      <protection/>
    </xf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934">
    <xf numFmtId="0" fontId="0" fillId="0" borderId="0" xfId="0" applyAlignment="1">
      <alignment/>
    </xf>
    <xf numFmtId="49" fontId="3" fillId="0" borderId="10" xfId="57" applyNumberFormat="1" applyFont="1" applyBorder="1" applyAlignment="1">
      <alignment horizontal="left" vertical="top" wrapText="1" indent="1"/>
      <protection/>
    </xf>
    <xf numFmtId="0" fontId="3" fillId="0" borderId="10" xfId="57" applyNumberFormat="1" applyFont="1" applyBorder="1" applyAlignment="1">
      <alignment horizontal="left" wrapText="1"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center"/>
    </xf>
    <xf numFmtId="172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/>
    </xf>
    <xf numFmtId="173" fontId="3" fillId="0" borderId="0" xfId="75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Border="1" applyAlignment="1">
      <alignment horizontal="center"/>
    </xf>
    <xf numFmtId="171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49" fontId="3" fillId="0" borderId="0" xfId="57" applyNumberFormat="1" applyFont="1" applyAlignment="1">
      <alignment wrapText="1"/>
      <protection/>
    </xf>
    <xf numFmtId="2" fontId="3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171" fontId="3" fillId="0" borderId="0" xfId="0" applyNumberFormat="1" applyFont="1" applyAlignment="1">
      <alignment/>
    </xf>
    <xf numFmtId="171" fontId="3" fillId="0" borderId="0" xfId="75" applyNumberFormat="1" applyFont="1" applyAlignment="1">
      <alignment/>
    </xf>
    <xf numFmtId="2" fontId="3" fillId="0" borderId="0" xfId="75" applyNumberFormat="1" applyFont="1" applyBorder="1" applyAlignment="1">
      <alignment/>
    </xf>
    <xf numFmtId="4" fontId="82" fillId="0" borderId="0" xfId="0" applyNumberFormat="1" applyFont="1" applyAlignment="1">
      <alignment vertical="center"/>
    </xf>
    <xf numFmtId="0" fontId="3" fillId="0" borderId="11" xfId="57" applyNumberFormat="1" applyFont="1" applyBorder="1" applyAlignment="1">
      <alignment horizontal="left" wrapText="1"/>
      <protection/>
    </xf>
    <xf numFmtId="49" fontId="3" fillId="0" borderId="10" xfId="57" applyNumberFormat="1" applyFont="1" applyBorder="1" applyAlignment="1">
      <alignment wrapText="1"/>
      <protection/>
    </xf>
    <xf numFmtId="2" fontId="3" fillId="0" borderId="10" xfId="57" applyNumberFormat="1" applyFont="1" applyBorder="1" applyAlignment="1">
      <alignment horizontal="center" wrapText="1"/>
      <protection/>
    </xf>
    <xf numFmtId="49" fontId="3" fillId="0" borderId="10" xfId="57" applyNumberFormat="1" applyFont="1" applyBorder="1" applyAlignment="1">
      <alignment horizontal="center" wrapText="1"/>
      <protection/>
    </xf>
    <xf numFmtId="0" fontId="3" fillId="0" borderId="10" xfId="57" applyFont="1" applyBorder="1" applyAlignment="1">
      <alignment horizontal="center" vertical="center" wrapText="1"/>
      <protection/>
    </xf>
    <xf numFmtId="0" fontId="3" fillId="0" borderId="0" xfId="57" applyFont="1" applyBorder="1" applyAlignment="1">
      <alignment horizontal="center" vertical="center" wrapText="1"/>
      <protection/>
    </xf>
    <xf numFmtId="0" fontId="3" fillId="0" borderId="0" xfId="57" applyFont="1" applyBorder="1" applyAlignment="1">
      <alignment horizontal="left" vertical="center" wrapText="1"/>
      <protection/>
    </xf>
    <xf numFmtId="0" fontId="3" fillId="0" borderId="12" xfId="57" applyFont="1" applyBorder="1" applyAlignment="1">
      <alignment horizontal="center" vertical="top" wrapText="1"/>
      <protection/>
    </xf>
    <xf numFmtId="0" fontId="3" fillId="0" borderId="0" xfId="0" applyFont="1" applyAlignment="1">
      <alignment horizontal="left"/>
    </xf>
    <xf numFmtId="0" fontId="3" fillId="0" borderId="13" xfId="57" applyFont="1" applyBorder="1" applyAlignment="1">
      <alignment horizontal="left" vertical="top" wrapText="1"/>
      <protection/>
    </xf>
    <xf numFmtId="4" fontId="4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2" fontId="7" fillId="0" borderId="0" xfId="75" applyNumberFormat="1" applyFont="1" applyBorder="1" applyAlignment="1">
      <alignment/>
    </xf>
    <xf numFmtId="171" fontId="7" fillId="0" borderId="0" xfId="75" applyNumberFormat="1" applyFont="1" applyAlignment="1">
      <alignment horizontal="right"/>
    </xf>
    <xf numFmtId="0" fontId="3" fillId="0" borderId="0" xfId="57" applyFont="1">
      <alignment/>
      <protection/>
    </xf>
    <xf numFmtId="0" fontId="3" fillId="0" borderId="10" xfId="57" applyFont="1" applyBorder="1" applyAlignment="1">
      <alignment horizontal="center" vertical="top" wrapText="1"/>
      <protection/>
    </xf>
    <xf numFmtId="0" fontId="3" fillId="0" borderId="14" xfId="57" applyFont="1" applyBorder="1" applyAlignment="1">
      <alignment horizontal="center" vertical="top" wrapText="1"/>
      <protection/>
    </xf>
    <xf numFmtId="0" fontId="3" fillId="0" borderId="15" xfId="57" applyFont="1" applyBorder="1" applyAlignment="1">
      <alignment horizontal="center" vertical="top" wrapText="1"/>
      <protection/>
    </xf>
    <xf numFmtId="0" fontId="3" fillId="0" borderId="16" xfId="57" applyFont="1" applyBorder="1" applyAlignment="1">
      <alignment horizontal="center" vertical="top" wrapText="1"/>
      <protection/>
    </xf>
    <xf numFmtId="0" fontId="3" fillId="0" borderId="12" xfId="57" applyFont="1" applyBorder="1">
      <alignment/>
      <protection/>
    </xf>
    <xf numFmtId="0" fontId="5" fillId="0" borderId="0" xfId="57" applyFont="1" applyBorder="1" applyAlignment="1">
      <alignment horizontal="left" vertical="center" wrapText="1"/>
      <protection/>
    </xf>
    <xf numFmtId="0" fontId="3" fillId="0" borderId="0" xfId="57" applyFont="1" applyBorder="1">
      <alignment/>
      <protection/>
    </xf>
    <xf numFmtId="0" fontId="5" fillId="0" borderId="0" xfId="57" applyFont="1" applyBorder="1" applyAlignment="1">
      <alignment horizontal="center" vertical="center" wrapText="1"/>
      <protection/>
    </xf>
    <xf numFmtId="0" fontId="3" fillId="0" borderId="17" xfId="57" applyFont="1" applyBorder="1" applyAlignment="1">
      <alignment horizontal="left" vertical="top" wrapText="1"/>
      <protection/>
    </xf>
    <xf numFmtId="0" fontId="3" fillId="0" borderId="18" xfId="57" applyFont="1" applyBorder="1" applyAlignment="1">
      <alignment horizontal="center" vertical="top" wrapText="1"/>
      <protection/>
    </xf>
    <xf numFmtId="0" fontId="3" fillId="0" borderId="17" xfId="57" applyFont="1" applyBorder="1" applyAlignment="1">
      <alignment horizontal="center" vertical="top" wrapText="1"/>
      <protection/>
    </xf>
    <xf numFmtId="0" fontId="3" fillId="0" borderId="0" xfId="57" applyFont="1" applyBorder="1" applyAlignment="1">
      <alignment horizontal="center" vertical="top" wrapText="1"/>
      <protection/>
    </xf>
    <xf numFmtId="0" fontId="3" fillId="0" borderId="19" xfId="57" applyFont="1" applyBorder="1" applyAlignment="1">
      <alignment horizontal="center" vertical="top" wrapText="1"/>
      <protection/>
    </xf>
    <xf numFmtId="0" fontId="3" fillId="0" borderId="20" xfId="57" applyFont="1" applyBorder="1" applyAlignment="1">
      <alignment horizontal="center" vertical="top" wrapText="1"/>
      <protection/>
    </xf>
    <xf numFmtId="0" fontId="3" fillId="0" borderId="13" xfId="57" applyFont="1" applyBorder="1" applyAlignment="1">
      <alignment horizontal="center" wrapText="1"/>
      <protection/>
    </xf>
    <xf numFmtId="0" fontId="3" fillId="0" borderId="21" xfId="57" applyFont="1" applyBorder="1" applyAlignment="1">
      <alignment horizontal="center" wrapText="1"/>
      <protection/>
    </xf>
    <xf numFmtId="0" fontId="3" fillId="0" borderId="22" xfId="57" applyFont="1" applyBorder="1" applyAlignment="1">
      <alignment horizontal="left" vertical="top" wrapText="1"/>
      <protection/>
    </xf>
    <xf numFmtId="0" fontId="3" fillId="0" borderId="23" xfId="57" applyFont="1" applyBorder="1" applyAlignment="1">
      <alignment horizontal="center" vertical="top" wrapText="1"/>
      <protection/>
    </xf>
    <xf numFmtId="0" fontId="3" fillId="0" borderId="13" xfId="57" applyFont="1" applyBorder="1" applyAlignment="1">
      <alignment horizontal="center" vertical="top" wrapText="1"/>
      <protection/>
    </xf>
    <xf numFmtId="0" fontId="3" fillId="0" borderId="21" xfId="57" applyFont="1" applyBorder="1" applyAlignment="1">
      <alignment horizontal="center" vertical="top" wrapText="1"/>
      <protection/>
    </xf>
    <xf numFmtId="0" fontId="3" fillId="0" borderId="15" xfId="57" applyFont="1" applyBorder="1" applyAlignment="1">
      <alignment horizontal="left" vertical="top" wrapText="1"/>
      <protection/>
    </xf>
    <xf numFmtId="0" fontId="3" fillId="0" borderId="12" xfId="57" applyFont="1" applyBorder="1" applyAlignment="1">
      <alignment horizontal="left" vertical="top" wrapText="1"/>
      <protection/>
    </xf>
    <xf numFmtId="0" fontId="3" fillId="0" borderId="19" xfId="57" applyFont="1" applyBorder="1" applyAlignment="1">
      <alignment horizontal="left" vertical="top" wrapText="1"/>
      <protection/>
    </xf>
    <xf numFmtId="0" fontId="3" fillId="0" borderId="23" xfId="57" applyFont="1" applyBorder="1" applyAlignment="1">
      <alignment horizontal="left" vertical="top" wrapText="1"/>
      <protection/>
    </xf>
    <xf numFmtId="0" fontId="3" fillId="0" borderId="18" xfId="57" applyFont="1" applyBorder="1" applyAlignment="1">
      <alignment horizontal="left" vertical="top" wrapText="1"/>
      <protection/>
    </xf>
    <xf numFmtId="0" fontId="3" fillId="0" borderId="0" xfId="57" applyFont="1" applyBorder="1" applyAlignment="1">
      <alignment horizontal="left" vertical="top" wrapText="1"/>
      <protection/>
    </xf>
    <xf numFmtId="0" fontId="5" fillId="0" borderId="11" xfId="57" applyFont="1" applyBorder="1" applyAlignment="1">
      <alignment horizontal="left" vertical="top" wrapText="1"/>
      <protection/>
    </xf>
    <xf numFmtId="0" fontId="3" fillId="0" borderId="11" xfId="57" applyFont="1" applyBorder="1" applyAlignment="1">
      <alignment horizontal="right" vertical="top" wrapText="1"/>
      <protection/>
    </xf>
    <xf numFmtId="0" fontId="3" fillId="0" borderId="24" xfId="57" applyFont="1" applyBorder="1" applyAlignment="1">
      <alignment horizontal="right" vertical="top" wrapText="1"/>
      <protection/>
    </xf>
    <xf numFmtId="0" fontId="3" fillId="0" borderId="14" xfId="57" applyFont="1" applyBorder="1" applyAlignment="1">
      <alignment horizontal="right" vertical="top" wrapText="1"/>
      <protection/>
    </xf>
    <xf numFmtId="0" fontId="3" fillId="0" borderId="17" xfId="57" applyFont="1" applyBorder="1" applyAlignment="1">
      <alignment horizontal="right" vertical="top" wrapText="1"/>
      <protection/>
    </xf>
    <xf numFmtId="0" fontId="3" fillId="0" borderId="18" xfId="57" applyFont="1" applyBorder="1" applyAlignment="1">
      <alignment horizontal="right" vertical="top" wrapText="1"/>
      <protection/>
    </xf>
    <xf numFmtId="0" fontId="3" fillId="0" borderId="0" xfId="57" applyFont="1" applyBorder="1" applyAlignment="1">
      <alignment horizontal="right" vertical="top" wrapText="1"/>
      <protection/>
    </xf>
    <xf numFmtId="0" fontId="3" fillId="0" borderId="19" xfId="57" applyFont="1" applyBorder="1" applyAlignment="1">
      <alignment horizontal="right" vertical="top" wrapText="1"/>
      <protection/>
    </xf>
    <xf numFmtId="0" fontId="3" fillId="0" borderId="13" xfId="57" applyFont="1" applyBorder="1" applyAlignment="1">
      <alignment horizontal="right" vertical="top" wrapText="1"/>
      <protection/>
    </xf>
    <xf numFmtId="0" fontId="3" fillId="0" borderId="20" xfId="57" applyFont="1" applyBorder="1" applyAlignment="1">
      <alignment horizontal="right" vertical="top" wrapText="1"/>
      <protection/>
    </xf>
    <xf numFmtId="0" fontId="3" fillId="0" borderId="21" xfId="57" applyFont="1" applyBorder="1" applyAlignment="1">
      <alignment horizontal="right" vertical="top" wrapText="1"/>
      <protection/>
    </xf>
    <xf numFmtId="0" fontId="3" fillId="0" borderId="11" xfId="57" applyFont="1" applyBorder="1" applyAlignment="1">
      <alignment horizontal="left" vertical="top" wrapText="1"/>
      <protection/>
    </xf>
    <xf numFmtId="0" fontId="3" fillId="0" borderId="17" xfId="57" applyFont="1" applyBorder="1">
      <alignment/>
      <protection/>
    </xf>
    <xf numFmtId="2" fontId="3" fillId="0" borderId="12" xfId="57" applyNumberFormat="1" applyFont="1" applyBorder="1" applyAlignment="1">
      <alignment horizontal="center" vertical="top" wrapText="1"/>
      <protection/>
    </xf>
    <xf numFmtId="0" fontId="3" fillId="0" borderId="14" xfId="57" applyFont="1" applyBorder="1">
      <alignment/>
      <protection/>
    </xf>
    <xf numFmtId="0" fontId="3" fillId="0" borderId="11" xfId="57" applyFont="1" applyBorder="1" applyAlignment="1">
      <alignment wrapText="1"/>
      <protection/>
    </xf>
    <xf numFmtId="0" fontId="3" fillId="0" borderId="24" xfId="57" applyFont="1" applyBorder="1" applyAlignment="1">
      <alignment wrapText="1"/>
      <protection/>
    </xf>
    <xf numFmtId="0" fontId="3" fillId="0" borderId="13" xfId="57" applyFont="1" applyBorder="1">
      <alignment/>
      <protection/>
    </xf>
    <xf numFmtId="0" fontId="3" fillId="0" borderId="0" xfId="0" applyFont="1" applyAlignment="1">
      <alignment/>
    </xf>
    <xf numFmtId="0" fontId="3" fillId="0" borderId="24" xfId="57" applyFont="1" applyBorder="1" applyAlignment="1">
      <alignment horizontal="center" vertical="top" wrapText="1"/>
      <protection/>
    </xf>
    <xf numFmtId="0" fontId="3" fillId="0" borderId="11" xfId="57" applyFont="1" applyBorder="1" applyAlignment="1">
      <alignment horizontal="center" vertical="top" wrapText="1"/>
      <protection/>
    </xf>
    <xf numFmtId="0" fontId="3" fillId="0" borderId="0" xfId="0" applyFont="1" applyAlignment="1">
      <alignment horizontal="right"/>
    </xf>
    <xf numFmtId="0" fontId="3" fillId="0" borderId="17" xfId="57" applyFont="1" applyBorder="1" applyAlignment="1">
      <alignment horizontal="center" wrapText="1"/>
      <protection/>
    </xf>
    <xf numFmtId="0" fontId="3" fillId="0" borderId="0" xfId="57" applyFont="1" applyBorder="1" applyAlignment="1">
      <alignment horizontal="center" wrapText="1"/>
      <protection/>
    </xf>
    <xf numFmtId="0" fontId="3" fillId="0" borderId="10" xfId="57" applyFont="1" applyBorder="1" applyAlignment="1">
      <alignment horizontal="left" vertical="top" wrapText="1"/>
      <protection/>
    </xf>
    <xf numFmtId="0" fontId="3" fillId="0" borderId="14" xfId="57" applyFont="1" applyBorder="1" applyAlignment="1">
      <alignment vertical="top" wrapText="1"/>
      <protection/>
    </xf>
    <xf numFmtId="10" fontId="3" fillId="0" borderId="24" xfId="57" applyNumberFormat="1" applyFont="1" applyBorder="1" applyAlignment="1">
      <alignment horizontal="center" vertical="top" wrapText="1"/>
      <protection/>
    </xf>
    <xf numFmtId="9" fontId="3" fillId="0" borderId="18" xfId="57" applyNumberFormat="1" applyFont="1" applyBorder="1" applyAlignment="1">
      <alignment horizontal="center" vertical="top" wrapText="1"/>
      <protection/>
    </xf>
    <xf numFmtId="0" fontId="3" fillId="0" borderId="24" xfId="57" applyFont="1" applyBorder="1" applyAlignment="1">
      <alignment horizontal="left" vertical="top" wrapText="1"/>
      <protection/>
    </xf>
    <xf numFmtId="0" fontId="3" fillId="0" borderId="14" xfId="57" applyFont="1" applyBorder="1" applyAlignment="1">
      <alignment horizontal="left" vertical="top" wrapText="1"/>
      <protection/>
    </xf>
    <xf numFmtId="0" fontId="3" fillId="0" borderId="12" xfId="57" applyFont="1" applyBorder="1" applyAlignment="1">
      <alignment horizontal="center" vertical="top"/>
      <protection/>
    </xf>
    <xf numFmtId="2" fontId="3" fillId="0" borderId="10" xfId="57" applyNumberFormat="1" applyFont="1" applyBorder="1" applyAlignment="1">
      <alignment horizontal="center" vertical="top" wrapText="1"/>
      <protection/>
    </xf>
    <xf numFmtId="2" fontId="3" fillId="0" borderId="15" xfId="57" applyNumberFormat="1" applyFont="1" applyBorder="1" applyAlignment="1">
      <alignment horizontal="center" wrapText="1"/>
      <protection/>
    </xf>
    <xf numFmtId="2" fontId="3" fillId="0" borderId="12" xfId="57" applyNumberFormat="1" applyFont="1" applyBorder="1" applyAlignment="1">
      <alignment horizontal="center" wrapText="1"/>
      <protection/>
    </xf>
    <xf numFmtId="2" fontId="3" fillId="0" borderId="19" xfId="57" applyNumberFormat="1" applyFont="1" applyBorder="1" applyAlignment="1">
      <alignment horizontal="center" wrapText="1"/>
      <protection/>
    </xf>
    <xf numFmtId="177" fontId="3" fillId="0" borderId="0" xfId="57" applyNumberFormat="1" applyFont="1" applyBorder="1" applyAlignment="1">
      <alignment horizontal="center" vertical="top" wrapText="1"/>
      <protection/>
    </xf>
    <xf numFmtId="2" fontId="3" fillId="0" borderId="0" xfId="57" applyNumberFormat="1" applyFont="1">
      <alignment/>
      <protection/>
    </xf>
    <xf numFmtId="2" fontId="3" fillId="0" borderId="18" xfId="57" applyNumberFormat="1" applyFont="1" applyBorder="1">
      <alignment/>
      <protection/>
    </xf>
    <xf numFmtId="2" fontId="3" fillId="0" borderId="15" xfId="57" applyNumberFormat="1" applyFont="1" applyBorder="1" applyAlignment="1">
      <alignment horizontal="center" vertical="top" wrapText="1"/>
      <protection/>
    </xf>
    <xf numFmtId="2" fontId="3" fillId="0" borderId="15" xfId="57" applyNumberFormat="1" applyFont="1" applyBorder="1" applyAlignment="1">
      <alignment horizontal="center"/>
      <protection/>
    </xf>
    <xf numFmtId="2" fontId="3" fillId="0" borderId="0" xfId="57" applyNumberFormat="1" applyFont="1" applyBorder="1" applyAlignment="1">
      <alignment horizontal="center" vertical="top" wrapText="1"/>
      <protection/>
    </xf>
    <xf numFmtId="2" fontId="3" fillId="0" borderId="17" xfId="57" applyNumberFormat="1" applyFont="1" applyBorder="1" applyAlignment="1">
      <alignment horizontal="right" vertical="top" wrapText="1"/>
      <protection/>
    </xf>
    <xf numFmtId="2" fontId="3" fillId="0" borderId="22" xfId="57" applyNumberFormat="1" applyFont="1" applyBorder="1" applyAlignment="1">
      <alignment horizontal="center" vertical="top" wrapText="1"/>
      <protection/>
    </xf>
    <xf numFmtId="49" fontId="3" fillId="0" borderId="15" xfId="57" applyNumberFormat="1" applyFont="1" applyBorder="1" applyAlignment="1">
      <alignment horizontal="center" wrapText="1"/>
      <protection/>
    </xf>
    <xf numFmtId="0" fontId="3" fillId="0" borderId="0" xfId="61" applyFont="1" applyAlignment="1">
      <alignment horizontal="left"/>
      <protection/>
    </xf>
    <xf numFmtId="0" fontId="0" fillId="0" borderId="0" xfId="0" applyFont="1" applyAlignment="1">
      <alignment/>
    </xf>
    <xf numFmtId="0" fontId="3" fillId="0" borderId="0" xfId="57" applyFont="1" applyAlignment="1">
      <alignment horizontal="left"/>
      <protection/>
    </xf>
    <xf numFmtId="0" fontId="0" fillId="0" borderId="0" xfId="0" applyAlignment="1">
      <alignment/>
    </xf>
    <xf numFmtId="0" fontId="3" fillId="0" borderId="0" xfId="61" applyFont="1" applyAlignment="1">
      <alignment horizontal="right"/>
      <protection/>
    </xf>
    <xf numFmtId="0" fontId="3" fillId="0" borderId="0" xfId="0" applyFont="1" applyAlignment="1">
      <alignment horizontal="right" vertical="center"/>
    </xf>
    <xf numFmtId="49" fontId="3" fillId="0" borderId="0" xfId="57" applyNumberFormat="1" applyFont="1" applyAlignment="1">
      <alignment horizontal="center"/>
      <protection/>
    </xf>
    <xf numFmtId="0" fontId="5" fillId="0" borderId="0" xfId="63" applyFont="1" applyAlignment="1">
      <alignment horizontal="left"/>
      <protection/>
    </xf>
    <xf numFmtId="0" fontId="3" fillId="0" borderId="0" xfId="57" applyFont="1" applyAlignment="1">
      <alignment vertical="top"/>
      <protection/>
    </xf>
    <xf numFmtId="49" fontId="11" fillId="0" borderId="0" xfId="57" applyNumberFormat="1" applyFont="1" applyAlignment="1">
      <alignment horizontal="center" vertical="top" wrapText="1"/>
      <protection/>
    </xf>
    <xf numFmtId="49" fontId="12" fillId="0" borderId="0" xfId="57" applyNumberFormat="1" applyFont="1" applyAlignment="1">
      <alignment horizontal="center" wrapText="1"/>
      <protection/>
    </xf>
    <xf numFmtId="49" fontId="12" fillId="0" borderId="0" xfId="57" applyNumberFormat="1" applyFont="1" applyAlignment="1">
      <alignment wrapText="1"/>
      <protection/>
    </xf>
    <xf numFmtId="0" fontId="12" fillId="0" borderId="0" xfId="57" applyFont="1" applyAlignment="1">
      <alignment horizontal="center" vertical="center"/>
      <protection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49" fontId="4" fillId="0" borderId="10" xfId="57" applyNumberFormat="1" applyFont="1" applyBorder="1" applyAlignment="1">
      <alignment horizontal="center" vertical="center" wrapText="1"/>
      <protection/>
    </xf>
    <xf numFmtId="49" fontId="4" fillId="0" borderId="10" xfId="57" applyNumberFormat="1" applyFont="1" applyBorder="1" applyAlignment="1">
      <alignment horizontal="center" wrapText="1"/>
      <protection/>
    </xf>
    <xf numFmtId="49" fontId="4" fillId="0" borderId="24" xfId="57" applyNumberFormat="1" applyFont="1" applyBorder="1" applyAlignment="1">
      <alignment horizontal="center" wrapText="1"/>
      <protection/>
    </xf>
    <xf numFmtId="49" fontId="4" fillId="0" borderId="15" xfId="57" applyNumberFormat="1" applyFont="1" applyBorder="1" applyAlignment="1">
      <alignment horizontal="center" vertical="top" wrapText="1"/>
      <protection/>
    </xf>
    <xf numFmtId="49" fontId="4" fillId="0" borderId="15" xfId="57" applyNumberFormat="1" applyFont="1" applyFill="1" applyBorder="1" applyAlignment="1">
      <alignment vertical="top" wrapText="1"/>
      <protection/>
    </xf>
    <xf numFmtId="0" fontId="83" fillId="0" borderId="16" xfId="0" applyFont="1" applyBorder="1" applyAlignment="1">
      <alignment horizontal="right"/>
    </xf>
    <xf numFmtId="2" fontId="4" fillId="0" borderId="16" xfId="57" applyNumberFormat="1" applyFont="1" applyBorder="1" applyAlignment="1">
      <alignment horizontal="right" wrapText="1"/>
      <protection/>
    </xf>
    <xf numFmtId="0" fontId="4" fillId="0" borderId="16" xfId="57" applyNumberFormat="1" applyFont="1" applyBorder="1" applyAlignment="1">
      <alignment wrapText="1"/>
      <protection/>
    </xf>
    <xf numFmtId="0" fontId="4" fillId="0" borderId="16" xfId="57" applyNumberFormat="1" applyFont="1" applyBorder="1" applyAlignment="1">
      <alignment horizontal="left" wrapText="1"/>
      <protection/>
    </xf>
    <xf numFmtId="172" fontId="4" fillId="0" borderId="16" xfId="57" applyNumberFormat="1" applyFont="1" applyBorder="1" applyAlignment="1">
      <alignment horizontal="left" wrapText="1"/>
      <protection/>
    </xf>
    <xf numFmtId="49" fontId="4" fillId="0" borderId="16" xfId="57" applyNumberFormat="1" applyFont="1" applyBorder="1" applyAlignment="1">
      <alignment horizontal="left" wrapText="1"/>
      <protection/>
    </xf>
    <xf numFmtId="0" fontId="4" fillId="0" borderId="16" xfId="0" applyFont="1" applyBorder="1" applyAlignment="1">
      <alignment/>
    </xf>
    <xf numFmtId="0" fontId="0" fillId="0" borderId="16" xfId="0" applyBorder="1" applyAlignment="1">
      <alignment/>
    </xf>
    <xf numFmtId="172" fontId="4" fillId="0" borderId="15" xfId="57" applyNumberFormat="1" applyFont="1" applyBorder="1" applyAlignment="1">
      <alignment horizontal="right" wrapText="1"/>
      <protection/>
    </xf>
    <xf numFmtId="49" fontId="4" fillId="0" borderId="12" xfId="57" applyNumberFormat="1" applyFont="1" applyBorder="1" applyAlignment="1">
      <alignment horizontal="center" wrapText="1"/>
      <protection/>
    </xf>
    <xf numFmtId="49" fontId="4" fillId="0" borderId="12" xfId="57" applyNumberFormat="1" applyFont="1" applyFill="1" applyBorder="1" applyAlignment="1">
      <alignment vertical="top" wrapText="1"/>
      <protection/>
    </xf>
    <xf numFmtId="0" fontId="4" fillId="0" borderId="10" xfId="57" applyNumberFormat="1" applyFont="1" applyBorder="1" applyAlignment="1">
      <alignment horizontal="left" vertical="top" wrapText="1"/>
      <protection/>
    </xf>
    <xf numFmtId="2" fontId="4" fillId="0" borderId="19" xfId="57" applyNumberFormat="1" applyFont="1" applyBorder="1" applyAlignment="1">
      <alignment horizontal="left" vertical="top" wrapText="1"/>
      <protection/>
    </xf>
    <xf numFmtId="0" fontId="4" fillId="0" borderId="0" xfId="57" applyNumberFormat="1" applyFont="1" applyBorder="1" applyAlignment="1">
      <alignment horizontal="left" vertical="top" wrapText="1"/>
      <protection/>
    </xf>
    <xf numFmtId="49" fontId="4" fillId="0" borderId="0" xfId="57" applyNumberFormat="1" applyFont="1" applyBorder="1" applyAlignment="1">
      <alignment horizontal="left" vertical="top" wrapText="1"/>
      <protection/>
    </xf>
    <xf numFmtId="49" fontId="4" fillId="0" borderId="18" xfId="57" applyNumberFormat="1" applyFont="1" applyBorder="1" applyAlignment="1">
      <alignment horizontal="left" vertical="top" wrapText="1"/>
      <protection/>
    </xf>
    <xf numFmtId="172" fontId="4" fillId="0" borderId="12" xfId="57" applyNumberFormat="1" applyFont="1" applyBorder="1" applyAlignment="1">
      <alignment horizontal="right" vertical="top" wrapText="1"/>
      <protection/>
    </xf>
    <xf numFmtId="0" fontId="4" fillId="0" borderId="19" xfId="57" applyNumberFormat="1" applyFont="1" applyBorder="1" applyAlignment="1">
      <alignment horizontal="left" vertical="top" wrapText="1"/>
      <protection/>
    </xf>
    <xf numFmtId="0" fontId="4" fillId="0" borderId="0" xfId="57" applyNumberFormat="1" applyFont="1" applyBorder="1" applyAlignment="1">
      <alignment horizontal="right" wrapText="1"/>
      <protection/>
    </xf>
    <xf numFmtId="0" fontId="4" fillId="0" borderId="0" xfId="57" applyNumberFormat="1" applyFont="1" applyBorder="1" applyAlignment="1">
      <alignment horizontal="left" wrapText="1"/>
      <protection/>
    </xf>
    <xf numFmtId="0" fontId="4" fillId="0" borderId="0" xfId="57" applyNumberFormat="1" applyFont="1" applyBorder="1" applyAlignment="1">
      <alignment wrapText="1"/>
      <protection/>
    </xf>
    <xf numFmtId="2" fontId="4" fillId="0" borderId="0" xfId="57" applyNumberFormat="1" applyFont="1" applyBorder="1" applyAlignment="1">
      <alignment wrapText="1"/>
      <protection/>
    </xf>
    <xf numFmtId="49" fontId="4" fillId="0" borderId="0" xfId="57" applyNumberFormat="1" applyFont="1" applyBorder="1" applyAlignment="1">
      <alignment horizontal="left" wrapText="1"/>
      <protection/>
    </xf>
    <xf numFmtId="2" fontId="4" fillId="0" borderId="0" xfId="57" applyNumberFormat="1" applyFont="1" applyFill="1" applyBorder="1" applyAlignment="1">
      <alignment horizontal="left" wrapText="1"/>
      <protection/>
    </xf>
    <xf numFmtId="175" fontId="4" fillId="0" borderId="0" xfId="57" applyNumberFormat="1" applyFont="1" applyBorder="1" applyAlignment="1">
      <alignment wrapText="1"/>
      <protection/>
    </xf>
    <xf numFmtId="2" fontId="4" fillId="0" borderId="0" xfId="57" applyNumberFormat="1" applyFont="1" applyBorder="1" applyAlignment="1">
      <alignment horizontal="left" wrapText="1"/>
      <protection/>
    </xf>
    <xf numFmtId="49" fontId="4" fillId="0" borderId="19" xfId="57" applyNumberFormat="1" applyFont="1" applyFill="1" applyBorder="1" applyAlignment="1">
      <alignment vertical="top" wrapText="1"/>
      <protection/>
    </xf>
    <xf numFmtId="0" fontId="4" fillId="0" borderId="13" xfId="57" applyNumberFormat="1" applyFont="1" applyBorder="1" applyAlignment="1">
      <alignment horizontal="left" vertical="top" wrapText="1"/>
      <protection/>
    </xf>
    <xf numFmtId="0" fontId="4" fillId="0" borderId="21" xfId="57" applyNumberFormat="1" applyFont="1" applyBorder="1" applyAlignment="1">
      <alignment horizontal="left" vertical="top" wrapText="1"/>
      <protection/>
    </xf>
    <xf numFmtId="49" fontId="4" fillId="0" borderId="21" xfId="57" applyNumberFormat="1" applyFont="1" applyBorder="1" applyAlignment="1">
      <alignment horizontal="left" vertical="top" wrapText="1"/>
      <protection/>
    </xf>
    <xf numFmtId="49" fontId="4" fillId="0" borderId="20" xfId="57" applyNumberFormat="1" applyFont="1" applyBorder="1" applyAlignment="1">
      <alignment horizontal="left" vertical="top" wrapText="1"/>
      <protection/>
    </xf>
    <xf numFmtId="172" fontId="4" fillId="0" borderId="19" xfId="57" applyNumberFormat="1" applyFont="1" applyBorder="1" applyAlignment="1">
      <alignment horizontal="right" vertical="top" wrapText="1"/>
      <protection/>
    </xf>
    <xf numFmtId="207" fontId="0" fillId="0" borderId="0" xfId="0" applyNumberFormat="1" applyAlignment="1">
      <alignment horizontal="center"/>
    </xf>
    <xf numFmtId="49" fontId="4" fillId="0" borderId="19" xfId="57" applyNumberFormat="1" applyFont="1" applyBorder="1" applyAlignment="1">
      <alignment horizontal="center" vertical="top" wrapText="1"/>
      <protection/>
    </xf>
    <xf numFmtId="49" fontId="4" fillId="0" borderId="10" xfId="57" applyNumberFormat="1" applyFont="1" applyBorder="1" applyAlignment="1">
      <alignment horizontal="left" vertical="top" wrapText="1"/>
      <protection/>
    </xf>
    <xf numFmtId="172" fontId="4" fillId="0" borderId="10" xfId="57" applyNumberFormat="1" applyFont="1" applyBorder="1" applyAlignment="1">
      <alignment horizontal="right" vertical="top" wrapText="1"/>
      <protection/>
    </xf>
    <xf numFmtId="49" fontId="4" fillId="0" borderId="17" xfId="57" applyNumberFormat="1" applyFont="1" applyBorder="1" applyAlignment="1">
      <alignment horizontal="left" vertical="top" wrapText="1"/>
      <protection/>
    </xf>
    <xf numFmtId="0" fontId="4" fillId="0" borderId="0" xfId="57" applyNumberFormat="1" applyFont="1" applyBorder="1" applyAlignment="1">
      <alignment horizontal="center" vertical="top" wrapText="1"/>
      <protection/>
    </xf>
    <xf numFmtId="49" fontId="3" fillId="0" borderId="11" xfId="57" applyNumberFormat="1" applyFont="1" applyBorder="1" applyAlignment="1">
      <alignment wrapText="1"/>
      <protection/>
    </xf>
    <xf numFmtId="49" fontId="4" fillId="0" borderId="10" xfId="57" applyNumberFormat="1" applyFont="1" applyBorder="1" applyAlignment="1">
      <alignment horizontal="center" vertical="top" wrapText="1"/>
      <protection/>
    </xf>
    <xf numFmtId="9" fontId="12" fillId="0" borderId="10" xfId="57" applyNumberFormat="1" applyFont="1" applyBorder="1" applyAlignment="1">
      <alignment horizontal="left" wrapText="1"/>
      <protection/>
    </xf>
    <xf numFmtId="0" fontId="4" fillId="0" borderId="11" xfId="57" applyNumberFormat="1" applyFont="1" applyBorder="1" applyAlignment="1">
      <alignment horizontal="left" vertical="top" wrapText="1" indent="1"/>
      <protection/>
    </xf>
    <xf numFmtId="49" fontId="3" fillId="0" borderId="24" xfId="57" applyNumberFormat="1" applyFont="1" applyBorder="1" applyAlignment="1">
      <alignment wrapText="1"/>
      <protection/>
    </xf>
    <xf numFmtId="49" fontId="3" fillId="0" borderId="15" xfId="57" applyNumberFormat="1" applyFont="1" applyBorder="1" applyAlignment="1">
      <alignment wrapText="1"/>
      <protection/>
    </xf>
    <xf numFmtId="49" fontId="3" fillId="0" borderId="11" xfId="57" applyNumberFormat="1" applyFont="1" applyBorder="1" applyAlignment="1">
      <alignment horizontal="left" wrapText="1"/>
      <protection/>
    </xf>
    <xf numFmtId="0" fontId="0" fillId="0" borderId="19" xfId="0" applyFont="1" applyBorder="1" applyAlignment="1">
      <alignment/>
    </xf>
    <xf numFmtId="49" fontId="3" fillId="0" borderId="21" xfId="57" applyNumberFormat="1" applyFont="1" applyBorder="1" applyAlignment="1">
      <alignment wrapText="1"/>
      <protection/>
    </xf>
    <xf numFmtId="0" fontId="4" fillId="0" borderId="19" xfId="58" applyNumberFormat="1" applyFont="1" applyBorder="1" applyAlignment="1">
      <alignment horizontal="left" vertical="top" wrapText="1"/>
      <protection/>
    </xf>
    <xf numFmtId="175" fontId="4" fillId="0" borderId="16" xfId="0" applyNumberFormat="1" applyFont="1" applyBorder="1" applyAlignment="1">
      <alignment/>
    </xf>
    <xf numFmtId="2" fontId="4" fillId="0" borderId="0" xfId="57" applyNumberFormat="1" applyFont="1" applyBorder="1" applyAlignment="1">
      <alignment horizontal="center" wrapText="1"/>
      <protection/>
    </xf>
    <xf numFmtId="49" fontId="4" fillId="0" borderId="19" xfId="57" applyNumberFormat="1" applyFont="1" applyBorder="1" applyAlignment="1">
      <alignment horizontal="center" wrapText="1"/>
      <protection/>
    </xf>
    <xf numFmtId="49" fontId="4" fillId="0" borderId="12" xfId="57" applyNumberFormat="1" applyFont="1" applyBorder="1" applyAlignment="1">
      <alignment horizontal="center" vertical="top" wrapText="1"/>
      <protection/>
    </xf>
    <xf numFmtId="49" fontId="4" fillId="0" borderId="15" xfId="57" applyNumberFormat="1" applyFont="1" applyBorder="1" applyAlignment="1">
      <alignment horizontal="left" vertical="top" wrapText="1"/>
      <protection/>
    </xf>
    <xf numFmtId="0" fontId="83" fillId="0" borderId="16" xfId="0" applyFont="1" applyBorder="1" applyAlignment="1">
      <alignment/>
    </xf>
    <xf numFmtId="0" fontId="4" fillId="0" borderId="16" xfId="57" applyNumberFormat="1" applyFont="1" applyBorder="1" applyAlignment="1">
      <alignment horizontal="right" wrapText="1"/>
      <protection/>
    </xf>
    <xf numFmtId="2" fontId="4" fillId="0" borderId="16" xfId="57" applyNumberFormat="1" applyFont="1" applyBorder="1" applyAlignment="1">
      <alignment horizontal="center" wrapText="1"/>
      <protection/>
    </xf>
    <xf numFmtId="4" fontId="4" fillId="0" borderId="15" xfId="57" applyNumberFormat="1" applyFont="1" applyBorder="1" applyAlignment="1">
      <alignment horizontal="center" wrapText="1"/>
      <protection/>
    </xf>
    <xf numFmtId="49" fontId="4" fillId="0" borderId="12" xfId="57" applyNumberFormat="1" applyFont="1" applyBorder="1" applyAlignment="1">
      <alignment horizontal="left" vertical="top" wrapText="1"/>
      <protection/>
    </xf>
    <xf numFmtId="2" fontId="4" fillId="0" borderId="10" xfId="57" applyNumberFormat="1" applyFont="1" applyBorder="1" applyAlignment="1">
      <alignment horizontal="left" vertical="top" wrapText="1"/>
      <protection/>
    </xf>
    <xf numFmtId="2" fontId="4" fillId="0" borderId="17" xfId="57" applyNumberFormat="1" applyFont="1" applyBorder="1" applyAlignment="1">
      <alignment horizontal="right" vertical="top" wrapText="1"/>
      <protection/>
    </xf>
    <xf numFmtId="0" fontId="83" fillId="0" borderId="0" xfId="0" applyFont="1" applyBorder="1" applyAlignment="1">
      <alignment vertical="top"/>
    </xf>
    <xf numFmtId="0" fontId="4" fillId="0" borderId="0" xfId="57" applyNumberFormat="1" applyFont="1" applyBorder="1" applyAlignment="1">
      <alignment horizontal="right" vertical="top" wrapText="1"/>
      <protection/>
    </xf>
    <xf numFmtId="2" fontId="4" fillId="0" borderId="0" xfId="57" applyNumberFormat="1" applyFont="1" applyBorder="1" applyAlignment="1">
      <alignment horizontal="center" vertical="top" wrapText="1"/>
      <protection/>
    </xf>
    <xf numFmtId="0" fontId="4" fillId="0" borderId="0" xfId="57" applyNumberFormat="1" applyFont="1" applyBorder="1" applyAlignment="1">
      <alignment vertical="top" wrapText="1"/>
      <protection/>
    </xf>
    <xf numFmtId="4" fontId="4" fillId="0" borderId="12" xfId="57" applyNumberFormat="1" applyFont="1" applyBorder="1" applyAlignment="1">
      <alignment horizontal="center" vertical="top" wrapText="1"/>
      <protection/>
    </xf>
    <xf numFmtId="0" fontId="4" fillId="0" borderId="17" xfId="57" applyNumberFormat="1" applyFont="1" applyBorder="1" applyAlignment="1">
      <alignment horizontal="left" vertical="top" wrapText="1"/>
      <protection/>
    </xf>
    <xf numFmtId="4" fontId="4" fillId="0" borderId="12" xfId="57" applyNumberFormat="1" applyFont="1" applyBorder="1" applyAlignment="1">
      <alignment vertical="top" wrapText="1"/>
      <protection/>
    </xf>
    <xf numFmtId="0" fontId="0" fillId="0" borderId="0" xfId="0" applyBorder="1" applyAlignment="1">
      <alignment/>
    </xf>
    <xf numFmtId="49" fontId="4" fillId="0" borderId="19" xfId="57" applyNumberFormat="1" applyFont="1" applyBorder="1" applyAlignment="1">
      <alignment horizontal="left" vertical="top" wrapText="1"/>
      <protection/>
    </xf>
    <xf numFmtId="4" fontId="4" fillId="0" borderId="19" xfId="57" applyNumberFormat="1" applyFont="1" applyBorder="1" applyAlignment="1">
      <alignment vertical="top" wrapText="1"/>
      <protection/>
    </xf>
    <xf numFmtId="175" fontId="4" fillId="0" borderId="16" xfId="57" applyNumberFormat="1" applyFont="1" applyBorder="1" applyAlignment="1">
      <alignment wrapText="1"/>
      <protection/>
    </xf>
    <xf numFmtId="2" fontId="4" fillId="0" borderId="0" xfId="57" applyNumberFormat="1" applyFont="1" applyBorder="1" applyAlignment="1">
      <alignment horizontal="right" wrapText="1"/>
      <protection/>
    </xf>
    <xf numFmtId="0" fontId="83" fillId="0" borderId="0" xfId="0" applyFont="1" applyBorder="1" applyAlignment="1">
      <alignment/>
    </xf>
    <xf numFmtId="175" fontId="4" fillId="0" borderId="16" xfId="57" applyNumberFormat="1" applyFont="1" applyBorder="1" applyAlignment="1">
      <alignment horizontal="right" wrapText="1"/>
      <protection/>
    </xf>
    <xf numFmtId="49" fontId="4" fillId="0" borderId="11" xfId="57" applyNumberFormat="1" applyFont="1" applyBorder="1" applyAlignment="1">
      <alignment horizontal="left" vertical="top" wrapText="1"/>
      <protection/>
    </xf>
    <xf numFmtId="49" fontId="3" fillId="0" borderId="16" xfId="57" applyNumberFormat="1" applyFont="1" applyBorder="1" applyAlignment="1">
      <alignment horizontal="left" wrapText="1"/>
      <protection/>
    </xf>
    <xf numFmtId="49" fontId="3" fillId="0" borderId="16" xfId="57" applyNumberFormat="1" applyFont="1" applyBorder="1" applyAlignment="1">
      <alignment wrapText="1"/>
      <protection/>
    </xf>
    <xf numFmtId="0" fontId="4" fillId="0" borderId="11" xfId="57" applyNumberFormat="1" applyFont="1" applyBorder="1" applyAlignment="1">
      <alignment horizontal="center" vertical="top" wrapText="1"/>
      <protection/>
    </xf>
    <xf numFmtId="0" fontId="4" fillId="0" borderId="0" xfId="57" applyFont="1" applyBorder="1" applyAlignment="1">
      <alignment horizontal="center" wrapText="1"/>
      <protection/>
    </xf>
    <xf numFmtId="175" fontId="4" fillId="0" borderId="22" xfId="57" applyNumberFormat="1" applyFont="1" applyBorder="1" applyAlignment="1">
      <alignment horizontal="right" wrapText="1"/>
      <protection/>
    </xf>
    <xf numFmtId="2" fontId="4" fillId="0" borderId="16" xfId="57" applyNumberFormat="1" applyFont="1" applyBorder="1" applyAlignment="1">
      <alignment wrapText="1"/>
      <protection/>
    </xf>
    <xf numFmtId="183" fontId="4" fillId="0" borderId="15" xfId="57" applyNumberFormat="1" applyFont="1" applyBorder="1" applyAlignment="1">
      <alignment horizontal="right" wrapText="1"/>
      <protection/>
    </xf>
    <xf numFmtId="0" fontId="4" fillId="0" borderId="14" xfId="57" applyNumberFormat="1" applyFont="1" applyBorder="1" applyAlignment="1">
      <alignment vertical="top" wrapText="1"/>
      <protection/>
    </xf>
    <xf numFmtId="0" fontId="4" fillId="0" borderId="24" xfId="57" applyNumberFormat="1" applyFont="1" applyBorder="1" applyAlignment="1">
      <alignment vertical="top" wrapText="1"/>
      <protection/>
    </xf>
    <xf numFmtId="172" fontId="4" fillId="0" borderId="15" xfId="57" applyNumberFormat="1" applyFont="1" applyBorder="1" applyAlignment="1">
      <alignment horizontal="right" vertical="top" wrapText="1"/>
      <protection/>
    </xf>
    <xf numFmtId="0" fontId="4" fillId="0" borderId="11" xfId="57" applyNumberFormat="1" applyFont="1" applyBorder="1" applyAlignment="1">
      <alignment horizontal="left" vertical="top" wrapText="1"/>
      <protection/>
    </xf>
    <xf numFmtId="4" fontId="4" fillId="0" borderId="11" xfId="57" applyNumberFormat="1" applyFont="1" applyBorder="1" applyAlignment="1">
      <alignment vertical="top" wrapText="1"/>
      <protection/>
    </xf>
    <xf numFmtId="0" fontId="4" fillId="0" borderId="10" xfId="57" applyNumberFormat="1" applyFont="1" applyBorder="1" applyAlignment="1">
      <alignment horizontal="center" vertical="top" wrapText="1"/>
      <protection/>
    </xf>
    <xf numFmtId="4" fontId="4" fillId="0" borderId="19" xfId="57" applyNumberFormat="1" applyFont="1" applyBorder="1" applyAlignment="1">
      <alignment horizontal="right" vertical="top" wrapText="1"/>
      <protection/>
    </xf>
    <xf numFmtId="4" fontId="4" fillId="0" borderId="12" xfId="57" applyNumberFormat="1" applyFont="1" applyBorder="1" applyAlignment="1">
      <alignment horizontal="right" vertical="top" wrapText="1"/>
      <protection/>
    </xf>
    <xf numFmtId="4" fontId="4" fillId="0" borderId="10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3" fillId="0" borderId="10" xfId="57" applyNumberFormat="1" applyFont="1" applyBorder="1" applyAlignment="1">
      <alignment horizontal="right" wrapText="1"/>
      <protection/>
    </xf>
    <xf numFmtId="4" fontId="3" fillId="0" borderId="19" xfId="57" applyNumberFormat="1" applyFont="1" applyBorder="1" applyAlignment="1">
      <alignment horizontal="right" wrapText="1"/>
      <protection/>
    </xf>
    <xf numFmtId="4" fontId="3" fillId="0" borderId="10" xfId="57" applyNumberFormat="1" applyFont="1" applyBorder="1" applyAlignment="1">
      <alignment horizontal="center" vertical="top" wrapText="1"/>
      <protection/>
    </xf>
    <xf numFmtId="4" fontId="3" fillId="0" borderId="12" xfId="57" applyNumberFormat="1" applyFont="1" applyBorder="1" applyAlignment="1">
      <alignment horizontal="center" vertical="top" wrapText="1"/>
      <protection/>
    </xf>
    <xf numFmtId="4" fontId="3" fillId="0" borderId="10" xfId="57" applyNumberFormat="1" applyFont="1" applyBorder="1" applyAlignment="1">
      <alignment horizontal="center" wrapText="1"/>
      <protection/>
    </xf>
    <xf numFmtId="49" fontId="3" fillId="0" borderId="0" xfId="57" applyNumberFormat="1" applyFont="1" applyAlignment="1">
      <alignment horizontal="right" wrapText="1"/>
      <protection/>
    </xf>
    <xf numFmtId="0" fontId="8" fillId="0" borderId="10" xfId="57" applyFont="1" applyBorder="1" applyAlignment="1">
      <alignment horizontal="center" vertical="top" wrapText="1"/>
      <protection/>
    </xf>
    <xf numFmtId="1" fontId="8" fillId="0" borderId="10" xfId="57" applyNumberFormat="1" applyFont="1" applyBorder="1" applyAlignment="1">
      <alignment horizontal="center" vertical="top" wrapText="1"/>
      <protection/>
    </xf>
    <xf numFmtId="0" fontId="8" fillId="0" borderId="0" xfId="57" applyFont="1">
      <alignment/>
      <protection/>
    </xf>
    <xf numFmtId="2" fontId="3" fillId="0" borderId="10" xfId="57" applyNumberFormat="1" applyFont="1" applyBorder="1" applyAlignment="1">
      <alignment horizontal="center" vertical="center" wrapText="1"/>
      <protection/>
    </xf>
    <xf numFmtId="49" fontId="12" fillId="0" borderId="21" xfId="57" applyNumberFormat="1" applyFont="1" applyBorder="1" applyAlignment="1">
      <alignment wrapText="1"/>
      <protection/>
    </xf>
    <xf numFmtId="49" fontId="4" fillId="0" borderId="15" xfId="57" applyNumberFormat="1" applyFont="1" applyBorder="1" applyAlignment="1">
      <alignment horizontal="center" wrapText="1"/>
      <protection/>
    </xf>
    <xf numFmtId="207" fontId="0" fillId="0" borderId="0" xfId="0" applyNumberFormat="1" applyBorder="1" applyAlignment="1">
      <alignment horizontal="center"/>
    </xf>
    <xf numFmtId="49" fontId="4" fillId="0" borderId="14" xfId="57" applyNumberFormat="1" applyFont="1" applyBorder="1" applyAlignment="1">
      <alignment horizontal="center" vertical="top" wrapText="1"/>
      <protection/>
    </xf>
    <xf numFmtId="0" fontId="3" fillId="0" borderId="0" xfId="58" applyFont="1">
      <alignment/>
      <protection/>
    </xf>
    <xf numFmtId="0" fontId="4" fillId="0" borderId="0" xfId="58" applyFont="1">
      <alignment/>
      <protection/>
    </xf>
    <xf numFmtId="0" fontId="7" fillId="0" borderId="0" xfId="58" applyFont="1" applyAlignment="1">
      <alignment horizontal="center" vertical="center"/>
      <protection/>
    </xf>
    <xf numFmtId="0" fontId="7" fillId="0" borderId="0" xfId="67" applyFont="1" applyAlignment="1">
      <alignment/>
      <protection/>
    </xf>
    <xf numFmtId="0" fontId="7" fillId="0" borderId="0" xfId="58" applyFont="1">
      <alignment/>
      <protection/>
    </xf>
    <xf numFmtId="14" fontId="3" fillId="0" borderId="0" xfId="58" applyNumberFormat="1" applyFont="1" applyAlignment="1">
      <alignment horizontal="right"/>
      <protection/>
    </xf>
    <xf numFmtId="0" fontId="16" fillId="0" borderId="21" xfId="58" applyFont="1" applyBorder="1" applyAlignment="1">
      <alignment horizontal="center" wrapText="1"/>
      <protection/>
    </xf>
    <xf numFmtId="0" fontId="18" fillId="0" borderId="15" xfId="58" applyFont="1" applyBorder="1" applyAlignment="1">
      <alignment horizontal="center" wrapText="1"/>
      <protection/>
    </xf>
    <xf numFmtId="0" fontId="3" fillId="0" borderId="16" xfId="58" applyFont="1" applyBorder="1" applyAlignment="1">
      <alignment horizontal="center" wrapText="1"/>
      <protection/>
    </xf>
    <xf numFmtId="0" fontId="3" fillId="0" borderId="15" xfId="58" applyFont="1" applyBorder="1" applyAlignment="1">
      <alignment horizontal="center" vertical="center"/>
      <protection/>
    </xf>
    <xf numFmtId="0" fontId="18" fillId="0" borderId="22" xfId="58" applyFont="1" applyBorder="1" applyAlignment="1">
      <alignment horizontal="center" wrapText="1"/>
      <protection/>
    </xf>
    <xf numFmtId="0" fontId="19" fillId="0" borderId="23" xfId="58" applyFont="1" applyBorder="1">
      <alignment/>
      <protection/>
    </xf>
    <xf numFmtId="0" fontId="18" fillId="0" borderId="17" xfId="58" applyFont="1" applyBorder="1" applyAlignment="1">
      <alignment horizontal="center" wrapText="1"/>
      <protection/>
    </xf>
    <xf numFmtId="0" fontId="19" fillId="0" borderId="17" xfId="58" applyFont="1" applyBorder="1" applyAlignment="1">
      <alignment horizontal="left" vertical="top" wrapText="1"/>
      <protection/>
    </xf>
    <xf numFmtId="0" fontId="19" fillId="0" borderId="12" xfId="58" applyFont="1" applyBorder="1" applyAlignment="1">
      <alignment horizontal="center" vertical="center" wrapText="1"/>
      <protection/>
    </xf>
    <xf numFmtId="0" fontId="19" fillId="0" borderId="18" xfId="58" applyFont="1" applyBorder="1">
      <alignment/>
      <protection/>
    </xf>
    <xf numFmtId="0" fontId="3" fillId="0" borderId="0" xfId="58" applyFont="1" applyBorder="1" applyAlignment="1">
      <alignment horizontal="center" wrapText="1"/>
      <protection/>
    </xf>
    <xf numFmtId="0" fontId="3" fillId="0" borderId="12" xfId="58" applyFont="1" applyBorder="1" applyAlignment="1">
      <alignment horizontal="center" vertical="center"/>
      <protection/>
    </xf>
    <xf numFmtId="0" fontId="20" fillId="0" borderId="18" xfId="58" applyFont="1" applyBorder="1" applyAlignment="1">
      <alignment horizontal="center" vertical="center" wrapText="1"/>
      <protection/>
    </xf>
    <xf numFmtId="0" fontId="18" fillId="0" borderId="17" xfId="58" applyFont="1" applyBorder="1" applyAlignment="1">
      <alignment vertical="top" wrapText="1"/>
      <protection/>
    </xf>
    <xf numFmtId="4" fontId="0" fillId="0" borderId="12" xfId="58" applyNumberFormat="1" applyFont="1" applyFill="1" applyBorder="1" applyAlignment="1">
      <alignment horizontal="center" wrapText="1"/>
      <protection/>
    </xf>
    <xf numFmtId="0" fontId="0" fillId="0" borderId="17" xfId="58" applyFont="1" applyBorder="1" applyAlignment="1">
      <alignment vertical="top" wrapText="1"/>
      <protection/>
    </xf>
    <xf numFmtId="0" fontId="18" fillId="0" borderId="17" xfId="58" applyFont="1" applyFill="1" applyBorder="1" applyAlignment="1">
      <alignment horizontal="center" vertical="center"/>
      <protection/>
    </xf>
    <xf numFmtId="0" fontId="18" fillId="0" borderId="0" xfId="58" applyFont="1" applyFill="1" applyBorder="1" applyAlignment="1">
      <alignment horizontal="center" vertical="center"/>
      <protection/>
    </xf>
    <xf numFmtId="2" fontId="18" fillId="0" borderId="0" xfId="58" applyNumberFormat="1" applyFont="1">
      <alignment/>
      <protection/>
    </xf>
    <xf numFmtId="4" fontId="18" fillId="0" borderId="12" xfId="58" applyNumberFormat="1" applyFont="1" applyBorder="1" applyAlignment="1">
      <alignment horizontal="center" vertical="center"/>
      <protection/>
    </xf>
    <xf numFmtId="0" fontId="18" fillId="0" borderId="17" xfId="58" applyFont="1" applyBorder="1">
      <alignment/>
      <protection/>
    </xf>
    <xf numFmtId="0" fontId="18" fillId="0" borderId="0" xfId="58" applyFont="1" applyBorder="1">
      <alignment/>
      <protection/>
    </xf>
    <xf numFmtId="4" fontId="0" fillId="0" borderId="12" xfId="58" applyNumberFormat="1" applyFont="1" applyFill="1" applyBorder="1" applyAlignment="1">
      <alignment horizontal="center" vertical="center"/>
      <protection/>
    </xf>
    <xf numFmtId="0" fontId="19" fillId="0" borderId="0" xfId="58" applyFont="1" applyFill="1" applyBorder="1" applyAlignment="1">
      <alignment horizontal="left" vertical="center" wrapText="1"/>
      <protection/>
    </xf>
    <xf numFmtId="0" fontId="0" fillId="0" borderId="0" xfId="58" applyFont="1" applyFill="1" applyBorder="1" applyAlignment="1">
      <alignment horizontal="center" vertical="center"/>
      <protection/>
    </xf>
    <xf numFmtId="0" fontId="19" fillId="0" borderId="17" xfId="58" applyFont="1" applyBorder="1" applyAlignment="1">
      <alignment vertical="top" wrapText="1"/>
      <protection/>
    </xf>
    <xf numFmtId="0" fontId="0" fillId="0" borderId="19" xfId="58" applyFont="1" applyBorder="1" applyAlignment="1">
      <alignment vertical="top" wrapText="1"/>
      <protection/>
    </xf>
    <xf numFmtId="0" fontId="18" fillId="0" borderId="22" xfId="58" applyFont="1" applyBorder="1" applyAlignment="1">
      <alignment horizontal="center" vertical="center"/>
      <protection/>
    </xf>
    <xf numFmtId="0" fontId="18" fillId="0" borderId="16" xfId="58" applyFont="1" applyBorder="1" applyAlignment="1">
      <alignment vertical="center" wrapText="1"/>
      <protection/>
    </xf>
    <xf numFmtId="0" fontId="25" fillId="0" borderId="16" xfId="58" applyFont="1" applyBorder="1" applyAlignment="1">
      <alignment vertical="center" wrapText="1"/>
      <protection/>
    </xf>
    <xf numFmtId="0" fontId="3" fillId="0" borderId="16" xfId="58" applyFont="1" applyBorder="1" applyAlignment="1">
      <alignment horizontal="center" vertical="center"/>
      <protection/>
    </xf>
    <xf numFmtId="0" fontId="3" fillId="0" borderId="16" xfId="58" applyFont="1" applyBorder="1" applyAlignment="1">
      <alignment horizontal="right" vertical="center"/>
      <protection/>
    </xf>
    <xf numFmtId="4" fontId="3" fillId="0" borderId="15" xfId="58" applyNumberFormat="1" applyFont="1" applyBorder="1" applyAlignment="1">
      <alignment horizontal="center" vertical="center"/>
      <protection/>
    </xf>
    <xf numFmtId="0" fontId="18" fillId="0" borderId="17" xfId="58" applyFont="1" applyBorder="1" applyAlignment="1">
      <alignment horizontal="center" vertical="center"/>
      <protection/>
    </xf>
    <xf numFmtId="0" fontId="21" fillId="0" borderId="0" xfId="58" applyFont="1" applyBorder="1" applyAlignment="1">
      <alignment vertical="center" wrapText="1"/>
      <protection/>
    </xf>
    <xf numFmtId="0" fontId="25" fillId="0" borderId="0" xfId="58" applyFont="1" applyBorder="1" applyAlignment="1">
      <alignment vertical="center" wrapText="1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right" vertical="center"/>
      <protection/>
    </xf>
    <xf numFmtId="4" fontId="3" fillId="0" borderId="12" xfId="58" applyNumberFormat="1" applyFont="1" applyBorder="1" applyAlignment="1">
      <alignment horizontal="center" vertical="center"/>
      <protection/>
    </xf>
    <xf numFmtId="0" fontId="18" fillId="0" borderId="13" xfId="58" applyFont="1" applyBorder="1" applyAlignment="1">
      <alignment horizontal="center" vertical="center"/>
      <protection/>
    </xf>
    <xf numFmtId="0" fontId="18" fillId="0" borderId="21" xfId="58" applyFont="1" applyBorder="1" applyAlignment="1">
      <alignment vertical="center" wrapText="1"/>
      <protection/>
    </xf>
    <xf numFmtId="0" fontId="26" fillId="0" borderId="21" xfId="58" applyFont="1" applyBorder="1" applyAlignment="1">
      <alignment vertical="center" wrapText="1"/>
      <protection/>
    </xf>
    <xf numFmtId="0" fontId="3" fillId="0" borderId="21" xfId="58" applyFont="1" applyBorder="1" applyAlignment="1">
      <alignment horizontal="center" vertical="center"/>
      <protection/>
    </xf>
    <xf numFmtId="0" fontId="3" fillId="0" borderId="21" xfId="58" applyFont="1" applyBorder="1" applyAlignment="1">
      <alignment horizontal="right" vertical="center"/>
      <protection/>
    </xf>
    <xf numFmtId="4" fontId="3" fillId="0" borderId="19" xfId="58" applyNumberFormat="1" applyFont="1" applyBorder="1" applyAlignment="1">
      <alignment horizontal="center" vertical="center"/>
      <protection/>
    </xf>
    <xf numFmtId="0" fontId="3" fillId="0" borderId="10" xfId="58" applyFont="1" applyBorder="1" applyAlignment="1">
      <alignment horizontal="left" vertical="center" wrapText="1"/>
      <protection/>
    </xf>
    <xf numFmtId="10" fontId="18" fillId="0" borderId="10" xfId="58" applyNumberFormat="1" applyFont="1" applyBorder="1" applyAlignment="1">
      <alignment vertical="center" wrapText="1"/>
      <protection/>
    </xf>
    <xf numFmtId="0" fontId="3" fillId="0" borderId="14" xfId="58" applyFont="1" applyBorder="1" applyAlignment="1">
      <alignment horizontal="center" vertical="center"/>
      <protection/>
    </xf>
    <xf numFmtId="0" fontId="3" fillId="0" borderId="11" xfId="58" applyFont="1" applyBorder="1" applyAlignment="1">
      <alignment horizontal="center" vertical="center"/>
      <protection/>
    </xf>
    <xf numFmtId="175" fontId="3" fillId="0" borderId="11" xfId="58" applyNumberFormat="1" applyFont="1" applyBorder="1" applyAlignment="1">
      <alignment horizontal="center" vertical="center"/>
      <protection/>
    </xf>
    <xf numFmtId="175" fontId="3" fillId="0" borderId="24" xfId="58" applyNumberFormat="1" applyFont="1" applyBorder="1" applyAlignment="1">
      <alignment horizontal="center" vertical="center"/>
      <protection/>
    </xf>
    <xf numFmtId="4" fontId="3" fillId="0" borderId="10" xfId="58" applyNumberFormat="1" applyFont="1" applyBorder="1" applyAlignment="1">
      <alignment horizontal="center" vertical="center"/>
      <protection/>
    </xf>
    <xf numFmtId="0" fontId="22" fillId="0" borderId="13" xfId="58" applyFont="1" applyBorder="1" applyAlignment="1">
      <alignment horizontal="center" vertical="center"/>
      <protection/>
    </xf>
    <xf numFmtId="0" fontId="18" fillId="0" borderId="10" xfId="58" applyFont="1" applyBorder="1" applyAlignment="1">
      <alignment vertical="top" wrapText="1"/>
      <protection/>
    </xf>
    <xf numFmtId="9" fontId="18" fillId="0" borderId="24" xfId="58" applyNumberFormat="1" applyFont="1" applyBorder="1" applyAlignment="1">
      <alignment horizontal="center" vertical="center" wrapText="1"/>
      <protection/>
    </xf>
    <xf numFmtId="0" fontId="18" fillId="0" borderId="22" xfId="58" applyFont="1" applyBorder="1" applyAlignment="1">
      <alignment vertical="center" wrapText="1"/>
      <protection/>
    </xf>
    <xf numFmtId="0" fontId="3" fillId="0" borderId="22" xfId="58" applyFont="1" applyBorder="1" applyAlignment="1">
      <alignment horizontal="center" vertical="center"/>
      <protection/>
    </xf>
    <xf numFmtId="175" fontId="3" fillId="0" borderId="16" xfId="58" applyNumberFormat="1" applyFont="1" applyBorder="1" applyAlignment="1">
      <alignment horizontal="center" vertical="center"/>
      <protection/>
    </xf>
    <xf numFmtId="0" fontId="18" fillId="0" borderId="14" xfId="58" applyFont="1" applyBorder="1" applyAlignment="1">
      <alignment horizontal="center" vertical="center"/>
      <protection/>
    </xf>
    <xf numFmtId="0" fontId="27" fillId="0" borderId="11" xfId="58" applyFont="1" applyBorder="1" applyAlignment="1">
      <alignment vertical="center" wrapText="1"/>
      <protection/>
    </xf>
    <xf numFmtId="0" fontId="25" fillId="0" borderId="11" xfId="58" applyFont="1" applyBorder="1" applyAlignment="1">
      <alignment vertical="center" wrapText="1"/>
      <protection/>
    </xf>
    <xf numFmtId="0" fontId="22" fillId="0" borderId="10" xfId="58" applyFont="1" applyBorder="1" applyAlignment="1">
      <alignment horizontal="center" vertical="center"/>
      <protection/>
    </xf>
    <xf numFmtId="0" fontId="18" fillId="0" borderId="13" xfId="58" applyFont="1" applyFill="1" applyBorder="1" applyAlignment="1">
      <alignment horizontal="left" vertical="top" wrapText="1"/>
      <protection/>
    </xf>
    <xf numFmtId="2" fontId="3" fillId="0" borderId="11" xfId="58" applyNumberFormat="1" applyFont="1" applyBorder="1" applyAlignment="1">
      <alignment/>
      <protection/>
    </xf>
    <xf numFmtId="0" fontId="3" fillId="0" borderId="16" xfId="58" applyFont="1" applyFill="1" applyBorder="1" applyAlignment="1">
      <alignment horizontal="center" vertical="center"/>
      <protection/>
    </xf>
    <xf numFmtId="2" fontId="5" fillId="0" borderId="11" xfId="58" applyNumberFormat="1" applyFont="1" applyBorder="1" applyAlignment="1">
      <alignment horizontal="center" vertical="center"/>
      <protection/>
    </xf>
    <xf numFmtId="0" fontId="4" fillId="0" borderId="10" xfId="58" applyFont="1" applyBorder="1">
      <alignment/>
      <protection/>
    </xf>
    <xf numFmtId="49" fontId="3" fillId="0" borderId="14" xfId="57" applyNumberFormat="1" applyFont="1" applyFill="1" applyBorder="1" applyAlignment="1">
      <alignment horizontal="left" vertical="top" wrapText="1"/>
      <protection/>
    </xf>
    <xf numFmtId="49" fontId="3" fillId="0" borderId="24" xfId="57" applyNumberFormat="1" applyFont="1" applyFill="1" applyBorder="1" applyAlignment="1">
      <alignment horizontal="left" vertical="top" wrapText="1"/>
      <protection/>
    </xf>
    <xf numFmtId="2" fontId="12" fillId="0" borderId="10" xfId="57" applyNumberFormat="1" applyFont="1" applyBorder="1" applyAlignment="1">
      <alignment vertical="top"/>
      <protection/>
    </xf>
    <xf numFmtId="190" fontId="12" fillId="0" borderId="14" xfId="57" applyNumberFormat="1" applyFont="1" applyBorder="1" applyAlignment="1">
      <alignment vertical="top"/>
      <protection/>
    </xf>
    <xf numFmtId="190" fontId="12" fillId="0" borderId="11" xfId="57" applyNumberFormat="1" applyFont="1" applyBorder="1" applyAlignment="1">
      <alignment vertical="top"/>
      <protection/>
    </xf>
    <xf numFmtId="0" fontId="3" fillId="0" borderId="11" xfId="58" applyFont="1" applyBorder="1">
      <alignment/>
      <protection/>
    </xf>
    <xf numFmtId="0" fontId="3" fillId="0" borderId="24" xfId="58" applyFont="1" applyBorder="1">
      <alignment/>
      <protection/>
    </xf>
    <xf numFmtId="4" fontId="3" fillId="0" borderId="24" xfId="58" applyNumberFormat="1" applyFont="1" applyBorder="1" applyAlignment="1">
      <alignment horizontal="center"/>
      <protection/>
    </xf>
    <xf numFmtId="0" fontId="4" fillId="0" borderId="14" xfId="58" applyFont="1" applyBorder="1">
      <alignment/>
      <protection/>
    </xf>
    <xf numFmtId="0" fontId="5" fillId="0" borderId="11" xfId="58" applyFont="1" applyBorder="1">
      <alignment/>
      <protection/>
    </xf>
    <xf numFmtId="0" fontId="5" fillId="0" borderId="24" xfId="58" applyFont="1" applyBorder="1">
      <alignment/>
      <protection/>
    </xf>
    <xf numFmtId="4" fontId="5" fillId="0" borderId="24" xfId="58" applyNumberFormat="1" applyFont="1" applyBorder="1" applyAlignment="1">
      <alignment horizontal="center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7" fillId="0" borderId="0" xfId="58" applyFont="1" applyAlignment="1">
      <alignment horizontal="center"/>
      <protection/>
    </xf>
    <xf numFmtId="0" fontId="84" fillId="0" borderId="0" xfId="58" applyFont="1" applyAlignment="1">
      <alignment horizontal="center"/>
      <protection/>
    </xf>
    <xf numFmtId="0" fontId="85" fillId="0" borderId="0" xfId="58" applyFont="1">
      <alignment/>
      <protection/>
    </xf>
    <xf numFmtId="0" fontId="84" fillId="0" borderId="0" xfId="58" applyFont="1">
      <alignment/>
      <protection/>
    </xf>
    <xf numFmtId="0" fontId="86" fillId="0" borderId="0" xfId="58" applyFont="1" applyAlignment="1">
      <alignment horizontal="center"/>
      <protection/>
    </xf>
    <xf numFmtId="0" fontId="87" fillId="0" borderId="10" xfId="58" applyFont="1" applyBorder="1" applyAlignment="1">
      <alignment horizontal="center" vertical="center" wrapText="1"/>
      <protection/>
    </xf>
    <xf numFmtId="0" fontId="86" fillId="0" borderId="10" xfId="58" applyFont="1" applyBorder="1" applyAlignment="1">
      <alignment horizontal="center" wrapText="1"/>
      <protection/>
    </xf>
    <xf numFmtId="0" fontId="86" fillId="0" borderId="19" xfId="58" applyFont="1" applyBorder="1" applyAlignment="1">
      <alignment horizontal="center" vertical="center" wrapText="1"/>
      <protection/>
    </xf>
    <xf numFmtId="0" fontId="86" fillId="0" borderId="0" xfId="58" applyFont="1" applyBorder="1" applyAlignment="1">
      <alignment wrapText="1"/>
      <protection/>
    </xf>
    <xf numFmtId="0" fontId="86" fillId="0" borderId="23" xfId="58" applyFont="1" applyBorder="1" applyAlignment="1">
      <alignment wrapText="1"/>
      <protection/>
    </xf>
    <xf numFmtId="0" fontId="86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 inden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86" fillId="0" borderId="18" xfId="58" applyFont="1" applyBorder="1" applyAlignment="1">
      <alignment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86" fillId="0" borderId="15" xfId="58" applyFont="1" applyBorder="1" applyAlignment="1">
      <alignment horizontal="center" vertical="center" wrapText="1"/>
      <protection/>
    </xf>
    <xf numFmtId="0" fontId="3" fillId="0" borderId="12" xfId="58" applyFont="1" applyFill="1" applyBorder="1" applyAlignment="1">
      <alignment horizontal="left" vertical="center" wrapText="1" indent="1"/>
      <protection/>
    </xf>
    <xf numFmtId="0" fontId="3" fillId="0" borderId="12" xfId="58" applyFont="1" applyFill="1" applyBorder="1" applyAlignment="1">
      <alignment horizontal="right" vertical="center" wrapText="1" indent="1"/>
      <protection/>
    </xf>
    <xf numFmtId="0" fontId="3" fillId="0" borderId="15" xfId="58" applyFont="1" applyBorder="1" applyAlignment="1">
      <alignment horizontal="right" vertical="center" wrapText="1" indent="1"/>
      <protection/>
    </xf>
    <xf numFmtId="0" fontId="86" fillId="0" borderId="20" xfId="58" applyFont="1" applyBorder="1" applyAlignment="1">
      <alignment wrapText="1"/>
      <protection/>
    </xf>
    <xf numFmtId="0" fontId="86" fillId="0" borderId="22" xfId="58" applyFont="1" applyBorder="1" applyAlignment="1">
      <alignment horizontal="center" wrapText="1"/>
      <protection/>
    </xf>
    <xf numFmtId="0" fontId="86" fillId="0" borderId="15" xfId="58" applyFont="1" applyBorder="1" applyAlignment="1">
      <alignment wrapText="1"/>
      <protection/>
    </xf>
    <xf numFmtId="0" fontId="86" fillId="0" borderId="16" xfId="58" applyFont="1" applyBorder="1" applyAlignment="1">
      <alignment wrapText="1"/>
      <protection/>
    </xf>
    <xf numFmtId="0" fontId="86" fillId="0" borderId="15" xfId="58" applyFont="1" applyBorder="1" applyAlignment="1">
      <alignment horizontal="center" wrapText="1"/>
      <protection/>
    </xf>
    <xf numFmtId="0" fontId="86" fillId="0" borderId="16" xfId="58" applyFont="1" applyBorder="1" applyAlignment="1">
      <alignment horizontal="center" wrapText="1"/>
      <protection/>
    </xf>
    <xf numFmtId="0" fontId="86" fillId="0" borderId="23" xfId="58" applyFont="1" applyBorder="1" applyAlignment="1">
      <alignment horizontal="center" wrapText="1"/>
      <protection/>
    </xf>
    <xf numFmtId="0" fontId="86" fillId="0" borderId="13" xfId="58" applyFont="1" applyBorder="1" applyAlignment="1">
      <alignment horizontal="center" wrapText="1"/>
      <protection/>
    </xf>
    <xf numFmtId="0" fontId="86" fillId="0" borderId="19" xfId="58" applyFont="1" applyBorder="1" applyAlignment="1">
      <alignment wrapText="1"/>
      <protection/>
    </xf>
    <xf numFmtId="0" fontId="86" fillId="0" borderId="21" xfId="58" applyFont="1" applyBorder="1" applyAlignment="1">
      <alignment wrapText="1"/>
      <protection/>
    </xf>
    <xf numFmtId="0" fontId="86" fillId="0" borderId="19" xfId="58" applyFont="1" applyBorder="1" applyAlignment="1">
      <alignment horizontal="center" wrapText="1"/>
      <protection/>
    </xf>
    <xf numFmtId="0" fontId="86" fillId="0" borderId="21" xfId="58" applyFont="1" applyBorder="1" applyAlignment="1">
      <alignment horizontal="center" wrapText="1"/>
      <protection/>
    </xf>
    <xf numFmtId="0" fontId="86" fillId="0" borderId="20" xfId="58" applyFont="1" applyBorder="1" applyAlignment="1">
      <alignment horizontal="center" wrapText="1"/>
      <protection/>
    </xf>
    <xf numFmtId="0" fontId="86" fillId="0" borderId="17" xfId="58" applyFont="1" applyBorder="1" applyAlignment="1">
      <alignment horizontal="center" wrapText="1"/>
      <protection/>
    </xf>
    <xf numFmtId="0" fontId="86" fillId="0" borderId="0" xfId="58" applyFont="1" applyBorder="1" applyAlignment="1">
      <alignment horizontal="center" wrapText="1"/>
      <protection/>
    </xf>
    <xf numFmtId="0" fontId="86" fillId="0" borderId="18" xfId="58" applyFont="1" applyBorder="1" applyAlignment="1">
      <alignment horizontal="center" wrapText="1"/>
      <protection/>
    </xf>
    <xf numFmtId="0" fontId="86" fillId="0" borderId="15" xfId="58" applyFont="1" applyBorder="1" applyAlignment="1">
      <alignment horizontal="left" vertical="center" wrapText="1"/>
      <protection/>
    </xf>
    <xf numFmtId="0" fontId="86" fillId="0" borderId="22" xfId="58" applyFont="1" applyBorder="1" applyAlignment="1">
      <alignment horizontal="center" vertical="center" wrapText="1"/>
      <protection/>
    </xf>
    <xf numFmtId="0" fontId="86" fillId="0" borderId="16" xfId="58" applyFont="1" applyBorder="1" applyAlignment="1">
      <alignment horizontal="center" vertical="center" wrapText="1"/>
      <protection/>
    </xf>
    <xf numFmtId="0" fontId="86" fillId="0" borderId="23" xfId="58" applyFont="1" applyBorder="1" applyAlignment="1">
      <alignment horizontal="center" vertical="center" wrapText="1"/>
      <protection/>
    </xf>
    <xf numFmtId="2" fontId="86" fillId="0" borderId="23" xfId="58" applyNumberFormat="1" applyFont="1" applyBorder="1" applyAlignment="1">
      <alignment horizontal="center" vertical="center" wrapText="1"/>
      <protection/>
    </xf>
    <xf numFmtId="2" fontId="86" fillId="0" borderId="15" xfId="58" applyNumberFormat="1" applyFont="1" applyBorder="1" applyAlignment="1">
      <alignment horizontal="center" vertical="center" wrapText="1"/>
      <protection/>
    </xf>
    <xf numFmtId="0" fontId="86" fillId="0" borderId="19" xfId="58" applyFont="1" applyBorder="1" applyAlignment="1">
      <alignment horizontal="right" vertical="center" wrapText="1"/>
      <protection/>
    </xf>
    <xf numFmtId="0" fontId="86" fillId="0" borderId="21" xfId="58" applyFont="1" applyBorder="1" applyAlignment="1">
      <alignment horizontal="center" vertical="center" wrapText="1"/>
      <protection/>
    </xf>
    <xf numFmtId="2" fontId="86" fillId="0" borderId="19" xfId="58" applyNumberFormat="1" applyFont="1" applyBorder="1" applyAlignment="1">
      <alignment horizontal="center" vertical="center" wrapText="1"/>
      <protection/>
    </xf>
    <xf numFmtId="0" fontId="87" fillId="0" borderId="14" xfId="58" applyFont="1" applyBorder="1" applyAlignment="1">
      <alignment horizontal="left" vertical="center" wrapText="1"/>
      <protection/>
    </xf>
    <xf numFmtId="0" fontId="87" fillId="0" borderId="11" xfId="58" applyFont="1" applyBorder="1" applyAlignment="1">
      <alignment horizontal="left" vertical="center" wrapText="1"/>
      <protection/>
    </xf>
    <xf numFmtId="0" fontId="87" fillId="0" borderId="24" xfId="58" applyFont="1" applyBorder="1" applyAlignment="1">
      <alignment horizontal="left" vertical="center" wrapText="1"/>
      <protection/>
    </xf>
    <xf numFmtId="2" fontId="87" fillId="0" borderId="24" xfId="58" applyNumberFormat="1" applyFont="1" applyBorder="1" applyAlignment="1">
      <alignment horizontal="center" vertical="center" wrapText="1"/>
      <protection/>
    </xf>
    <xf numFmtId="2" fontId="87" fillId="0" borderId="10" xfId="58" applyNumberFormat="1" applyFont="1" applyBorder="1" applyAlignment="1">
      <alignment horizontal="center" vertical="center" wrapText="1"/>
      <protection/>
    </xf>
    <xf numFmtId="0" fontId="86" fillId="0" borderId="19" xfId="58" applyFont="1" applyFill="1" applyBorder="1" applyAlignment="1">
      <alignment horizontal="left" vertical="center" wrapText="1"/>
      <protection/>
    </xf>
    <xf numFmtId="0" fontId="86" fillId="0" borderId="13" xfId="58" applyFont="1" applyFill="1" applyBorder="1" applyAlignment="1">
      <alignment horizontal="center" vertical="center" wrapText="1"/>
      <protection/>
    </xf>
    <xf numFmtId="0" fontId="86" fillId="0" borderId="11" xfId="58" applyFont="1" applyFill="1" applyBorder="1" applyAlignment="1">
      <alignment horizontal="center" vertical="center" wrapText="1"/>
      <protection/>
    </xf>
    <xf numFmtId="0" fontId="86" fillId="0" borderId="24" xfId="58" applyFont="1" applyFill="1" applyBorder="1" applyAlignment="1">
      <alignment horizontal="center" vertical="center" wrapText="1"/>
      <protection/>
    </xf>
    <xf numFmtId="2" fontId="86" fillId="0" borderId="20" xfId="58" applyNumberFormat="1" applyFont="1" applyFill="1" applyBorder="1" applyAlignment="1">
      <alignment horizontal="center" vertical="center" wrapText="1"/>
      <protection/>
    </xf>
    <xf numFmtId="0" fontId="86" fillId="0" borderId="10" xfId="58" applyFont="1" applyFill="1" applyBorder="1" applyAlignment="1">
      <alignment horizontal="left" vertical="center" wrapText="1"/>
      <protection/>
    </xf>
    <xf numFmtId="0" fontId="86" fillId="0" borderId="10" xfId="58" applyFont="1" applyFill="1" applyBorder="1" applyAlignment="1">
      <alignment horizontal="center" vertical="center" wrapText="1"/>
      <protection/>
    </xf>
    <xf numFmtId="0" fontId="86" fillId="0" borderId="14" xfId="58" applyFont="1" applyFill="1" applyBorder="1" applyAlignment="1">
      <alignment horizontal="center" vertical="center" wrapText="1"/>
      <protection/>
    </xf>
    <xf numFmtId="0" fontId="86" fillId="0" borderId="0" xfId="58" applyFont="1" applyFill="1" applyBorder="1" applyAlignment="1">
      <alignment horizontal="center" vertical="center" wrapText="1"/>
      <protection/>
    </xf>
    <xf numFmtId="0" fontId="86" fillId="0" borderId="18" xfId="58" applyFont="1" applyFill="1" applyBorder="1" applyAlignment="1">
      <alignment horizontal="center" vertical="center" wrapText="1"/>
      <protection/>
    </xf>
    <xf numFmtId="2" fontId="86" fillId="0" borderId="24" xfId="58" applyNumberFormat="1" applyFont="1" applyFill="1" applyBorder="1" applyAlignment="1">
      <alignment horizontal="center" vertical="center" wrapText="1"/>
      <protection/>
    </xf>
    <xf numFmtId="0" fontId="87" fillId="0" borderId="14" xfId="58" applyFont="1" applyFill="1" applyBorder="1" applyAlignment="1">
      <alignment horizontal="left" vertical="center" wrapText="1"/>
      <protection/>
    </xf>
    <xf numFmtId="0" fontId="87" fillId="0" borderId="11" xfId="58" applyFont="1" applyFill="1" applyBorder="1" applyAlignment="1">
      <alignment horizontal="left" vertical="center" wrapText="1"/>
      <protection/>
    </xf>
    <xf numFmtId="0" fontId="87" fillId="0" borderId="24" xfId="58" applyFont="1" applyFill="1" applyBorder="1" applyAlignment="1">
      <alignment horizontal="left" vertical="center" wrapText="1"/>
      <protection/>
    </xf>
    <xf numFmtId="2" fontId="87" fillId="0" borderId="24" xfId="58" applyNumberFormat="1" applyFont="1" applyFill="1" applyBorder="1" applyAlignment="1">
      <alignment horizontal="center" vertical="center" wrapText="1"/>
      <protection/>
    </xf>
    <xf numFmtId="2" fontId="87" fillId="0" borderId="10" xfId="58" applyNumberFormat="1" applyFont="1" applyFill="1" applyBorder="1" applyAlignment="1">
      <alignment horizontal="center" vertical="center" wrapText="1"/>
      <protection/>
    </xf>
    <xf numFmtId="0" fontId="86" fillId="0" borderId="10" xfId="58" applyFont="1" applyBorder="1" applyAlignment="1">
      <alignment horizontal="left" vertical="center" wrapText="1" shrinkToFit="1"/>
      <protection/>
    </xf>
    <xf numFmtId="0" fontId="86" fillId="0" borderId="14" xfId="58" applyFont="1" applyBorder="1" applyAlignment="1">
      <alignment horizontal="center" vertical="center" wrapText="1"/>
      <protection/>
    </xf>
    <xf numFmtId="0" fontId="86" fillId="0" borderId="24" xfId="58" applyFont="1" applyBorder="1" applyAlignment="1">
      <alignment horizontal="center" wrapText="1"/>
      <protection/>
    </xf>
    <xf numFmtId="0" fontId="86" fillId="0" borderId="11" xfId="58" applyFont="1" applyBorder="1" applyAlignment="1">
      <alignment horizontal="center" vertical="center" wrapText="1"/>
      <protection/>
    </xf>
    <xf numFmtId="0" fontId="0" fillId="0" borderId="11" xfId="58" applyBorder="1">
      <alignment/>
      <protection/>
    </xf>
    <xf numFmtId="0" fontId="86" fillId="0" borderId="24" xfId="58" applyFont="1" applyBorder="1" applyAlignment="1">
      <alignment horizontal="center" vertical="center" wrapText="1"/>
      <protection/>
    </xf>
    <xf numFmtId="0" fontId="86" fillId="0" borderId="10" xfId="58" applyFont="1" applyBorder="1" applyAlignment="1">
      <alignment vertical="top" wrapText="1"/>
      <protection/>
    </xf>
    <xf numFmtId="0" fontId="86" fillId="0" borderId="14" xfId="58" applyFont="1" applyBorder="1" applyAlignment="1">
      <alignment horizontal="center" vertical="top" wrapText="1"/>
      <protection/>
    </xf>
    <xf numFmtId="0" fontId="86" fillId="0" borderId="13" xfId="58" applyFont="1" applyBorder="1" applyAlignment="1">
      <alignment horizontal="center" vertical="top" wrapText="1"/>
      <protection/>
    </xf>
    <xf numFmtId="0" fontId="86" fillId="0" borderId="21" xfId="58" applyFont="1" applyBorder="1" applyAlignment="1">
      <alignment horizontal="center" vertical="top" wrapText="1"/>
      <protection/>
    </xf>
    <xf numFmtId="0" fontId="86" fillId="0" borderId="20" xfId="58" applyFont="1" applyBorder="1" applyAlignment="1">
      <alignment horizontal="center" vertical="top" wrapText="1"/>
      <protection/>
    </xf>
    <xf numFmtId="2" fontId="87" fillId="0" borderId="24" xfId="58" applyNumberFormat="1" applyFont="1" applyBorder="1" applyAlignment="1">
      <alignment horizontal="center" wrapText="1"/>
      <protection/>
    </xf>
    <xf numFmtId="2" fontId="87" fillId="0" borderId="10" xfId="58" applyNumberFormat="1" applyFont="1" applyBorder="1" applyAlignment="1">
      <alignment horizontal="center" wrapText="1"/>
      <protection/>
    </xf>
    <xf numFmtId="0" fontId="86" fillId="0" borderId="10" xfId="58" applyFont="1" applyBorder="1" applyAlignment="1">
      <alignment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3" fillId="33" borderId="14" xfId="58" applyFont="1" applyFill="1" applyBorder="1" applyAlignment="1">
      <alignment horizontal="center" vertical="center" wrapText="1"/>
      <protection/>
    </xf>
    <xf numFmtId="0" fontId="3" fillId="33" borderId="22" xfId="58" applyFont="1" applyFill="1" applyBorder="1" applyAlignment="1">
      <alignment horizontal="center" vertical="center" wrapText="1"/>
      <protection/>
    </xf>
    <xf numFmtId="0" fontId="3" fillId="33" borderId="16" xfId="58" applyFont="1" applyFill="1" applyBorder="1" applyAlignment="1">
      <alignment horizontal="center" vertical="center" wrapText="1"/>
      <protection/>
    </xf>
    <xf numFmtId="0" fontId="3" fillId="33" borderId="23" xfId="58" applyFont="1" applyFill="1" applyBorder="1" applyAlignment="1">
      <alignment horizontal="center" vertical="center" wrapText="1"/>
      <protection/>
    </xf>
    <xf numFmtId="0" fontId="3" fillId="33" borderId="24" xfId="58" applyFont="1" applyFill="1" applyBorder="1" applyAlignment="1">
      <alignment horizontal="center" wrapText="1"/>
      <protection/>
    </xf>
    <xf numFmtId="0" fontId="86" fillId="0" borderId="10" xfId="58" applyFont="1" applyBorder="1" applyAlignment="1">
      <alignment horizontal="left" vertical="center" wrapText="1"/>
      <protection/>
    </xf>
    <xf numFmtId="0" fontId="86" fillId="0" borderId="14" xfId="58" applyFont="1" applyBorder="1" applyAlignment="1">
      <alignment horizontal="center" vertical="center"/>
      <protection/>
    </xf>
    <xf numFmtId="0" fontId="86" fillId="0" borderId="11" xfId="58" applyFont="1" applyBorder="1" applyAlignment="1">
      <alignment horizontal="center" vertical="center"/>
      <protection/>
    </xf>
    <xf numFmtId="0" fontId="86" fillId="0" borderId="24" xfId="58" applyFont="1" applyBorder="1" applyAlignment="1">
      <alignment horizontal="center" vertical="center"/>
      <protection/>
    </xf>
    <xf numFmtId="0" fontId="86" fillId="0" borderId="24" xfId="58" applyFont="1" applyBorder="1" applyAlignment="1">
      <alignment horizontal="center"/>
      <protection/>
    </xf>
    <xf numFmtId="0" fontId="86" fillId="0" borderId="10" xfId="58" applyFont="1" applyBorder="1" applyAlignment="1">
      <alignment horizontal="center" vertical="center"/>
      <protection/>
    </xf>
    <xf numFmtId="0" fontId="86" fillId="0" borderId="14" xfId="58" applyFont="1" applyFill="1" applyBorder="1" applyAlignment="1">
      <alignment horizontal="center" vertical="center"/>
      <protection/>
    </xf>
    <xf numFmtId="0" fontId="86" fillId="0" borderId="21" xfId="58" applyFont="1" applyFill="1" applyBorder="1" applyAlignment="1">
      <alignment horizontal="center" vertical="center"/>
      <protection/>
    </xf>
    <xf numFmtId="0" fontId="86" fillId="0" borderId="20" xfId="58" applyFont="1" applyFill="1" applyBorder="1" applyAlignment="1">
      <alignment horizontal="center" vertical="center"/>
      <protection/>
    </xf>
    <xf numFmtId="2" fontId="86" fillId="0" borderId="24" xfId="58" applyNumberFormat="1" applyFont="1" applyBorder="1" applyAlignment="1">
      <alignment horizontal="center"/>
      <protection/>
    </xf>
    <xf numFmtId="0" fontId="87" fillId="0" borderId="10" xfId="58" applyFont="1" applyBorder="1" applyAlignment="1">
      <alignment horizontal="center" wrapText="1"/>
      <protection/>
    </xf>
    <xf numFmtId="0" fontId="3" fillId="0" borderId="14" xfId="58" applyFont="1" applyBorder="1" applyAlignment="1">
      <alignment horizontal="center" vertical="center" wrapText="1"/>
      <protection/>
    </xf>
    <xf numFmtId="0" fontId="3" fillId="0" borderId="11" xfId="58" applyFont="1" applyBorder="1" applyAlignment="1">
      <alignment horizontal="center" vertical="center" wrapText="1"/>
      <protection/>
    </xf>
    <xf numFmtId="0" fontId="3" fillId="0" borderId="24" xfId="58" applyFont="1" applyBorder="1" applyAlignment="1">
      <alignment horizontal="center" vertical="center" wrapText="1"/>
      <protection/>
    </xf>
    <xf numFmtId="2" fontId="86" fillId="0" borderId="24" xfId="58" applyNumberFormat="1" applyFont="1" applyBorder="1" applyAlignment="1">
      <alignment horizontal="center" wrapText="1"/>
      <protection/>
    </xf>
    <xf numFmtId="2" fontId="86" fillId="0" borderId="10" xfId="58" applyNumberFormat="1" applyFont="1" applyBorder="1" applyAlignment="1">
      <alignment horizontal="center" wrapText="1"/>
      <protection/>
    </xf>
    <xf numFmtId="0" fontId="87" fillId="0" borderId="22" xfId="58" applyFont="1" applyBorder="1" applyAlignment="1">
      <alignment horizontal="left" vertical="center" wrapText="1"/>
      <protection/>
    </xf>
    <xf numFmtId="0" fontId="87" fillId="0" borderId="16" xfId="58" applyFont="1" applyBorder="1" applyAlignment="1">
      <alignment horizontal="left" vertical="center" wrapText="1"/>
      <protection/>
    </xf>
    <xf numFmtId="0" fontId="87" fillId="0" borderId="23" xfId="58" applyFont="1" applyBorder="1" applyAlignment="1">
      <alignment horizontal="left" vertical="center" wrapText="1"/>
      <protection/>
    </xf>
    <xf numFmtId="4" fontId="87" fillId="0" borderId="24" xfId="58" applyNumberFormat="1" applyFont="1" applyBorder="1" applyAlignment="1">
      <alignment horizontal="center" wrapText="1"/>
      <protection/>
    </xf>
    <xf numFmtId="4" fontId="87" fillId="0" borderId="10" xfId="58" applyNumberFormat="1" applyFont="1" applyBorder="1" applyAlignment="1">
      <alignment horizontal="center" wrapText="1"/>
      <protection/>
    </xf>
    <xf numFmtId="0" fontId="86" fillId="0" borderId="19" xfId="57" applyFont="1" applyBorder="1" applyAlignment="1">
      <alignment horizontal="left" vertical="top" wrapText="1"/>
      <protection/>
    </xf>
    <xf numFmtId="0" fontId="86" fillId="0" borderId="13" xfId="58" applyFont="1" applyBorder="1" applyAlignment="1">
      <alignment horizontal="center" vertical="center" wrapText="1"/>
      <protection/>
    </xf>
    <xf numFmtId="0" fontId="86" fillId="0" borderId="17" xfId="58" applyFont="1" applyBorder="1" applyAlignment="1">
      <alignment horizontal="center" vertical="center" wrapText="1"/>
      <protection/>
    </xf>
    <xf numFmtId="0" fontId="86" fillId="0" borderId="0" xfId="58" applyFont="1" applyBorder="1" applyAlignment="1">
      <alignment horizontal="center" vertical="center" wrapText="1"/>
      <protection/>
    </xf>
    <xf numFmtId="0" fontId="86" fillId="0" borderId="18" xfId="58" applyFont="1" applyBorder="1" applyAlignment="1">
      <alignment horizontal="center" vertical="center" wrapText="1"/>
      <protection/>
    </xf>
    <xf numFmtId="4" fontId="86" fillId="0" borderId="20" xfId="58" applyNumberFormat="1" applyFont="1" applyBorder="1" applyAlignment="1">
      <alignment horizontal="center" wrapText="1"/>
      <protection/>
    </xf>
    <xf numFmtId="4" fontId="86" fillId="0" borderId="19" xfId="58" applyNumberFormat="1" applyFont="1" applyBorder="1" applyAlignment="1">
      <alignment horizontal="center" wrapText="1"/>
      <protection/>
    </xf>
    <xf numFmtId="4" fontId="86" fillId="0" borderId="24" xfId="58" applyNumberFormat="1" applyFont="1" applyBorder="1" applyAlignment="1">
      <alignment horizontal="center" wrapText="1"/>
      <protection/>
    </xf>
    <xf numFmtId="4" fontId="86" fillId="0" borderId="10" xfId="58" applyNumberFormat="1" applyFont="1" applyBorder="1" applyAlignment="1">
      <alignment horizontal="center" wrapText="1"/>
      <protection/>
    </xf>
    <xf numFmtId="0" fontId="87" fillId="0" borderId="13" xfId="58" applyFont="1" applyBorder="1" applyAlignment="1">
      <alignment horizontal="left" vertical="center" wrapText="1"/>
      <protection/>
    </xf>
    <xf numFmtId="0" fontId="87" fillId="0" borderId="21" xfId="58" applyFont="1" applyBorder="1" applyAlignment="1">
      <alignment horizontal="left" vertical="center" wrapText="1"/>
      <protection/>
    </xf>
    <xf numFmtId="0" fontId="87" fillId="0" borderId="20" xfId="58" applyFont="1" applyBorder="1" applyAlignment="1">
      <alignment horizontal="left" vertical="center" wrapText="1"/>
      <protection/>
    </xf>
    <xf numFmtId="0" fontId="3" fillId="0" borderId="0" xfId="66" applyFont="1">
      <alignment/>
      <protection/>
    </xf>
    <xf numFmtId="0" fontId="88" fillId="0" borderId="0" xfId="66" applyFont="1">
      <alignment/>
      <protection/>
    </xf>
    <xf numFmtId="0" fontId="63" fillId="0" borderId="0" xfId="66">
      <alignment/>
      <protection/>
    </xf>
    <xf numFmtId="0" fontId="89" fillId="0" borderId="0" xfId="66" applyFont="1">
      <alignment/>
      <protection/>
    </xf>
    <xf numFmtId="0" fontId="7" fillId="0" borderId="0" xfId="66" applyFont="1" applyAlignment="1">
      <alignment horizontal="left" vertical="top"/>
      <protection/>
    </xf>
    <xf numFmtId="0" fontId="7" fillId="0" borderId="0" xfId="66" applyFont="1" applyAlignment="1">
      <alignment horizontal="right" vertical="top"/>
      <protection/>
    </xf>
    <xf numFmtId="0" fontId="7" fillId="0" borderId="0" xfId="66" applyFont="1" applyAlignment="1">
      <alignment vertical="top"/>
      <protection/>
    </xf>
    <xf numFmtId="0" fontId="7" fillId="0" borderId="0" xfId="66" applyFont="1" applyAlignment="1">
      <alignment horizontal="center" vertical="top"/>
      <protection/>
    </xf>
    <xf numFmtId="0" fontId="28" fillId="0" borderId="0" xfId="66" applyFont="1" applyAlignment="1">
      <alignment horizontal="left" vertical="top"/>
      <protection/>
    </xf>
    <xf numFmtId="0" fontId="29" fillId="0" borderId="0" xfId="66" applyFont="1" applyAlignment="1">
      <alignment horizontal="right" vertical="top"/>
      <protection/>
    </xf>
    <xf numFmtId="0" fontId="28" fillId="0" borderId="0" xfId="66" applyFont="1" applyAlignment="1">
      <alignment vertical="top"/>
      <protection/>
    </xf>
    <xf numFmtId="0" fontId="28" fillId="0" borderId="0" xfId="66" applyFont="1" applyAlignment="1">
      <alignment horizontal="center" vertical="top"/>
      <protection/>
    </xf>
    <xf numFmtId="0" fontId="85" fillId="0" borderId="0" xfId="66" applyFont="1">
      <alignment/>
      <protection/>
    </xf>
    <xf numFmtId="0" fontId="7" fillId="0" borderId="0" xfId="66" applyFont="1">
      <alignment/>
      <protection/>
    </xf>
    <xf numFmtId="0" fontId="3" fillId="0" borderId="25" xfId="66" applyFont="1" applyBorder="1" applyAlignment="1">
      <alignment horizontal="center" vertical="center" wrapText="1"/>
      <protection/>
    </xf>
    <xf numFmtId="0" fontId="3" fillId="0" borderId="26" xfId="66" applyFont="1" applyBorder="1" applyAlignment="1">
      <alignment horizontal="center" vertical="center" wrapText="1"/>
      <protection/>
    </xf>
    <xf numFmtId="0" fontId="3" fillId="0" borderId="27" xfId="66" applyFont="1" applyBorder="1" applyAlignment="1">
      <alignment horizontal="center" vertical="center" wrapText="1"/>
      <protection/>
    </xf>
    <xf numFmtId="0" fontId="3" fillId="0" borderId="28" xfId="66" applyFont="1" applyBorder="1" applyAlignment="1">
      <alignment horizontal="center" wrapText="1"/>
      <protection/>
    </xf>
    <xf numFmtId="0" fontId="3" fillId="0" borderId="15" xfId="66" applyFont="1" applyBorder="1" applyAlignment="1">
      <alignment horizontal="center" wrapText="1"/>
      <protection/>
    </xf>
    <xf numFmtId="0" fontId="3" fillId="0" borderId="29" xfId="66" applyFont="1" applyBorder="1" applyAlignment="1">
      <alignment horizontal="center" vertical="center"/>
      <protection/>
    </xf>
    <xf numFmtId="0" fontId="3" fillId="0" borderId="30" xfId="66" applyFont="1" applyBorder="1" applyAlignment="1">
      <alignment horizontal="center" wrapText="1"/>
      <protection/>
    </xf>
    <xf numFmtId="0" fontId="5" fillId="0" borderId="22" xfId="66" applyFont="1" applyBorder="1" applyAlignment="1">
      <alignment horizontal="center" wrapText="1"/>
      <protection/>
    </xf>
    <xf numFmtId="0" fontId="4" fillId="0" borderId="23" xfId="66" applyFont="1" applyBorder="1">
      <alignment/>
      <protection/>
    </xf>
    <xf numFmtId="0" fontId="3" fillId="0" borderId="31" xfId="66" applyFont="1" applyBorder="1" applyAlignment="1">
      <alignment horizontal="center" wrapText="1"/>
      <protection/>
    </xf>
    <xf numFmtId="0" fontId="4" fillId="0" borderId="17" xfId="66" applyFont="1" applyBorder="1" applyAlignment="1">
      <alignment horizontal="left" vertical="top" wrapText="1"/>
      <protection/>
    </xf>
    <xf numFmtId="0" fontId="4" fillId="0" borderId="12" xfId="66" applyFont="1" applyBorder="1" applyAlignment="1">
      <alignment horizontal="center" vertical="center" wrapText="1"/>
      <protection/>
    </xf>
    <xf numFmtId="0" fontId="4" fillId="0" borderId="18" xfId="66" applyFont="1" applyBorder="1">
      <alignment/>
      <protection/>
    </xf>
    <xf numFmtId="0" fontId="3" fillId="0" borderId="32" xfId="66" applyFont="1" applyBorder="1" applyAlignment="1">
      <alignment horizontal="center" vertical="center"/>
      <protection/>
    </xf>
    <xf numFmtId="0" fontId="4" fillId="0" borderId="12" xfId="66" applyFont="1" applyFill="1" applyBorder="1" applyAlignment="1">
      <alignment horizontal="center" vertical="center" wrapText="1"/>
      <protection/>
    </xf>
    <xf numFmtId="0" fontId="4" fillId="0" borderId="19" xfId="66" applyFont="1" applyBorder="1" applyAlignment="1">
      <alignment horizontal="center" vertical="center" wrapText="1"/>
      <protection/>
    </xf>
    <xf numFmtId="0" fontId="31" fillId="0" borderId="18" xfId="66" applyFont="1" applyBorder="1" applyAlignment="1">
      <alignment horizontal="center" vertical="center" wrapText="1"/>
      <protection/>
    </xf>
    <xf numFmtId="0" fontId="5" fillId="0" borderId="33" xfId="66" applyFont="1" applyBorder="1" applyAlignment="1">
      <alignment horizontal="center" vertical="center" wrapText="1"/>
      <protection/>
    </xf>
    <xf numFmtId="0" fontId="3" fillId="0" borderId="28" xfId="66" applyFont="1" applyFill="1" applyBorder="1" applyAlignment="1">
      <alignment horizontal="center" vertical="center" wrapText="1"/>
      <protection/>
    </xf>
    <xf numFmtId="0" fontId="11" fillId="0" borderId="15" xfId="66" applyFont="1" applyFill="1" applyBorder="1" applyAlignment="1">
      <alignment horizontal="center" vertical="center" wrapText="1"/>
      <protection/>
    </xf>
    <xf numFmtId="0" fontId="32" fillId="0" borderId="22" xfId="66" applyFont="1" applyFill="1" applyBorder="1" applyAlignment="1">
      <alignment horizontal="center" vertical="center" wrapText="1"/>
      <protection/>
    </xf>
    <xf numFmtId="0" fontId="4" fillId="0" borderId="15" xfId="66" applyFont="1" applyFill="1" applyBorder="1" applyAlignment="1">
      <alignment horizontal="center" vertical="center" wrapText="1"/>
      <protection/>
    </xf>
    <xf numFmtId="2" fontId="3" fillId="0" borderId="32" xfId="66" applyNumberFormat="1" applyFont="1" applyFill="1" applyBorder="1" applyAlignment="1">
      <alignment horizontal="center" vertical="center"/>
      <protection/>
    </xf>
    <xf numFmtId="0" fontId="3" fillId="0" borderId="31" xfId="66" applyFont="1" applyFill="1" applyBorder="1" applyAlignment="1">
      <alignment horizontal="center" wrapText="1"/>
      <protection/>
    </xf>
    <xf numFmtId="0" fontId="4" fillId="0" borderId="12" xfId="66" applyFont="1" applyFill="1" applyBorder="1" applyAlignment="1">
      <alignment horizontal="left" vertical="center" wrapText="1"/>
      <protection/>
    </xf>
    <xf numFmtId="0" fontId="4" fillId="0" borderId="12" xfId="66" applyFont="1" applyFill="1" applyBorder="1" applyAlignment="1">
      <alignment horizontal="right" vertical="center" wrapText="1"/>
      <protection/>
    </xf>
    <xf numFmtId="178" fontId="4" fillId="0" borderId="17" xfId="66" applyNumberFormat="1" applyFont="1" applyFill="1" applyBorder="1" applyAlignment="1">
      <alignment horizontal="right" vertical="center" wrapText="1"/>
      <protection/>
    </xf>
    <xf numFmtId="0" fontId="3" fillId="0" borderId="32" xfId="66" applyFont="1" applyFill="1" applyBorder="1" applyAlignment="1">
      <alignment horizontal="center" vertical="center"/>
      <protection/>
    </xf>
    <xf numFmtId="1" fontId="4" fillId="0" borderId="17" xfId="66" applyNumberFormat="1" applyFont="1" applyFill="1" applyBorder="1" applyAlignment="1">
      <alignment horizontal="right" vertical="center" wrapText="1"/>
      <protection/>
    </xf>
    <xf numFmtId="175" fontId="4" fillId="0" borderId="17" xfId="66" applyNumberFormat="1" applyFont="1" applyFill="1" applyBorder="1" applyAlignment="1">
      <alignment horizontal="right" vertical="center" wrapText="1"/>
      <protection/>
    </xf>
    <xf numFmtId="172" fontId="4" fillId="0" borderId="17" xfId="66" applyNumberFormat="1" applyFont="1" applyFill="1" applyBorder="1" applyAlignment="1">
      <alignment horizontal="right" vertical="center" wrapText="1"/>
      <protection/>
    </xf>
    <xf numFmtId="0" fontId="88" fillId="0" borderId="12" xfId="66" applyFont="1" applyFill="1" applyBorder="1">
      <alignment/>
      <protection/>
    </xf>
    <xf numFmtId="2" fontId="4" fillId="0" borderId="17" xfId="66" applyNumberFormat="1" applyFont="1" applyFill="1" applyBorder="1" applyAlignment="1">
      <alignment horizontal="right" vertical="center"/>
      <protection/>
    </xf>
    <xf numFmtId="0" fontId="4" fillId="0" borderId="12" xfId="66" applyFont="1" applyFill="1" applyBorder="1" applyAlignment="1">
      <alignment horizontal="left" vertical="center"/>
      <protection/>
    </xf>
    <xf numFmtId="0" fontId="4" fillId="0" borderId="12" xfId="66" applyFont="1" applyFill="1" applyBorder="1" applyAlignment="1">
      <alignment horizontal="left" vertical="center" indent="1"/>
      <protection/>
    </xf>
    <xf numFmtId="187" fontId="4" fillId="0" borderId="17" xfId="66" applyNumberFormat="1" applyFont="1" applyFill="1" applyBorder="1" applyAlignment="1">
      <alignment horizontal="right" vertical="center"/>
      <protection/>
    </xf>
    <xf numFmtId="0" fontId="11" fillId="0" borderId="19" xfId="66" applyFont="1" applyFill="1" applyBorder="1" applyAlignment="1">
      <alignment horizontal="left" vertical="center" indent="1"/>
      <protection/>
    </xf>
    <xf numFmtId="2" fontId="31" fillId="0" borderId="13" xfId="66" applyNumberFormat="1" applyFont="1" applyFill="1" applyBorder="1" applyAlignment="1">
      <alignment horizontal="center" vertical="center"/>
      <protection/>
    </xf>
    <xf numFmtId="0" fontId="5" fillId="0" borderId="19" xfId="66" applyFont="1" applyFill="1" applyBorder="1">
      <alignment/>
      <protection/>
    </xf>
    <xf numFmtId="4" fontId="3" fillId="0" borderId="34" xfId="66" applyNumberFormat="1" applyFont="1" applyFill="1" applyBorder="1" applyAlignment="1">
      <alignment horizontal="center" vertical="center"/>
      <protection/>
    </xf>
    <xf numFmtId="4" fontId="5" fillId="0" borderId="35" xfId="66" applyNumberFormat="1" applyFont="1" applyFill="1" applyBorder="1" applyAlignment="1">
      <alignment horizontal="center" wrapText="1"/>
      <protection/>
    </xf>
    <xf numFmtId="0" fontId="5" fillId="0" borderId="33" xfId="66" applyFont="1" applyBorder="1" applyAlignment="1">
      <alignment horizontal="center" wrapText="1"/>
      <protection/>
    </xf>
    <xf numFmtId="0" fontId="3" fillId="0" borderId="28" xfId="66" applyFont="1" applyBorder="1" applyAlignment="1">
      <alignment horizontal="center" vertical="center" wrapText="1"/>
      <protection/>
    </xf>
    <xf numFmtId="0" fontId="11" fillId="0" borderId="15" xfId="66" applyFont="1" applyBorder="1" applyAlignment="1">
      <alignment horizontal="center" vertical="center" wrapText="1"/>
      <protection/>
    </xf>
    <xf numFmtId="2" fontId="31" fillId="0" borderId="16" xfId="66" applyNumberFormat="1" applyFont="1" applyBorder="1" applyAlignment="1">
      <alignment horizontal="center" vertical="center"/>
      <protection/>
    </xf>
    <xf numFmtId="0" fontId="4" fillId="0" borderId="15" xfId="66" applyFont="1" applyBorder="1" applyAlignment="1">
      <alignment horizontal="center" vertical="center" wrapText="1"/>
      <protection/>
    </xf>
    <xf numFmtId="4" fontId="3" fillId="0" borderId="29" xfId="66" applyNumberFormat="1" applyFont="1" applyBorder="1" applyAlignment="1">
      <alignment horizontal="center" vertical="center"/>
      <protection/>
    </xf>
    <xf numFmtId="0" fontId="5" fillId="0" borderId="36" xfId="66" applyFont="1" applyBorder="1">
      <alignment/>
      <protection/>
    </xf>
    <xf numFmtId="0" fontId="33" fillId="0" borderId="18" xfId="66" applyFont="1" applyBorder="1" applyAlignment="1">
      <alignment horizontal="center" vertical="center" wrapText="1"/>
      <protection/>
    </xf>
    <xf numFmtId="2" fontId="31" fillId="0" borderId="0" xfId="66" applyNumberFormat="1" applyFont="1" applyBorder="1" applyAlignment="1">
      <alignment horizontal="center" vertical="center"/>
      <protection/>
    </xf>
    <xf numFmtId="4" fontId="3" fillId="0" borderId="32" xfId="66" applyNumberFormat="1" applyFont="1" applyBorder="1" applyAlignment="1">
      <alignment horizontal="center" vertical="center"/>
      <protection/>
    </xf>
    <xf numFmtId="49" fontId="34" fillId="0" borderId="36" xfId="66" applyNumberFormat="1" applyFont="1" applyBorder="1" applyAlignment="1">
      <alignment horizontal="center" vertical="center"/>
      <protection/>
    </xf>
    <xf numFmtId="0" fontId="4" fillId="0" borderId="18" xfId="66" applyFont="1" applyBorder="1" applyAlignment="1">
      <alignment horizontal="left" vertical="top" wrapText="1"/>
      <protection/>
    </xf>
    <xf numFmtId="1" fontId="4" fillId="0" borderId="0" xfId="66" applyNumberFormat="1" applyFont="1" applyBorder="1" applyAlignment="1">
      <alignment horizontal="right"/>
      <protection/>
    </xf>
    <xf numFmtId="0" fontId="4" fillId="0" borderId="12" xfId="66" applyFont="1" applyBorder="1" applyAlignment="1">
      <alignment horizontal="center" vertical="top" wrapText="1"/>
      <protection/>
    </xf>
    <xf numFmtId="0" fontId="3" fillId="0" borderId="36" xfId="66" applyFont="1" applyBorder="1">
      <alignment/>
      <protection/>
    </xf>
    <xf numFmtId="0" fontId="4" fillId="0" borderId="18" xfId="66" applyFont="1" applyBorder="1" applyAlignment="1">
      <alignment horizontal="left" vertical="center" wrapText="1"/>
      <protection/>
    </xf>
    <xf numFmtId="177" fontId="4" fillId="0" borderId="0" xfId="66" applyNumberFormat="1" applyFont="1" applyFill="1" applyBorder="1" applyAlignment="1">
      <alignment horizontal="right" vertical="center" wrapText="1"/>
      <protection/>
    </xf>
    <xf numFmtId="0" fontId="4" fillId="0" borderId="12" xfId="66" applyFont="1" applyBorder="1" applyAlignment="1">
      <alignment horizontal="center"/>
      <protection/>
    </xf>
    <xf numFmtId="0" fontId="88" fillId="0" borderId="37" xfId="66" applyFont="1" applyBorder="1">
      <alignment/>
      <protection/>
    </xf>
    <xf numFmtId="2" fontId="4" fillId="0" borderId="0" xfId="66" applyNumberFormat="1" applyFont="1" applyFill="1" applyBorder="1" applyAlignment="1">
      <alignment horizontal="right" vertical="center" wrapText="1"/>
      <protection/>
    </xf>
    <xf numFmtId="0" fontId="4" fillId="0" borderId="18" xfId="66" applyFont="1" applyFill="1" applyBorder="1" applyAlignment="1">
      <alignment vertical="center"/>
      <protection/>
    </xf>
    <xf numFmtId="175" fontId="4" fillId="0" borderId="0" xfId="66" applyNumberFormat="1" applyFont="1" applyFill="1" applyBorder="1" applyAlignment="1">
      <alignment horizontal="right" vertical="center" wrapText="1"/>
      <protection/>
    </xf>
    <xf numFmtId="0" fontId="4" fillId="0" borderId="18" xfId="66" applyFont="1" applyFill="1" applyBorder="1" applyAlignment="1">
      <alignment horizontal="left" vertical="center" wrapText="1"/>
      <protection/>
    </xf>
    <xf numFmtId="1" fontId="4" fillId="0" borderId="0" xfId="66" applyNumberFormat="1" applyFont="1" applyFill="1" applyBorder="1" applyAlignment="1">
      <alignment horizontal="right" vertical="center" wrapText="1"/>
      <protection/>
    </xf>
    <xf numFmtId="175" fontId="4" fillId="0" borderId="0" xfId="66" applyNumberFormat="1" applyFont="1" applyBorder="1" applyAlignment="1">
      <alignment horizontal="right" vertical="center" wrapText="1"/>
      <protection/>
    </xf>
    <xf numFmtId="0" fontId="4" fillId="0" borderId="18" xfId="66" applyFont="1" applyBorder="1" applyAlignment="1">
      <alignment vertical="center"/>
      <protection/>
    </xf>
    <xf numFmtId="2" fontId="4" fillId="0" borderId="0" xfId="66" applyNumberFormat="1" applyFont="1" applyBorder="1" applyAlignment="1">
      <alignment horizontal="right" vertical="center"/>
      <protection/>
    </xf>
    <xf numFmtId="0" fontId="4" fillId="0" borderId="12" xfId="66" applyFont="1" applyBorder="1" applyAlignment="1">
      <alignment horizontal="center" vertical="center"/>
      <protection/>
    </xf>
    <xf numFmtId="0" fontId="4" fillId="0" borderId="18" xfId="66" applyFont="1" applyBorder="1" applyAlignment="1">
      <alignment horizontal="left" vertical="center" indent="1"/>
      <protection/>
    </xf>
    <xf numFmtId="187" fontId="4" fillId="0" borderId="0" xfId="66" applyNumberFormat="1" applyFont="1" applyBorder="1" applyAlignment="1">
      <alignment horizontal="right" vertical="center"/>
      <protection/>
    </xf>
    <xf numFmtId="2" fontId="31" fillId="0" borderId="0" xfId="66" applyNumberFormat="1" applyFont="1" applyBorder="1" applyAlignment="1">
      <alignment horizontal="right" vertical="center"/>
      <protection/>
    </xf>
    <xf numFmtId="1" fontId="4" fillId="0" borderId="12" xfId="66" applyNumberFormat="1" applyFont="1" applyBorder="1" applyAlignment="1">
      <alignment horizontal="right"/>
      <protection/>
    </xf>
    <xf numFmtId="0" fontId="4" fillId="0" borderId="12" xfId="66" applyFont="1" applyBorder="1" applyAlignment="1">
      <alignment horizontal="left" vertical="top" wrapText="1"/>
      <protection/>
    </xf>
    <xf numFmtId="2" fontId="4" fillId="0" borderId="0" xfId="66" applyNumberFormat="1" applyFont="1" applyBorder="1" applyAlignment="1">
      <alignment horizontal="right" vertical="center" wrapText="1"/>
      <protection/>
    </xf>
    <xf numFmtId="175" fontId="4" fillId="0" borderId="12" xfId="66" applyNumberFormat="1" applyFont="1" applyBorder="1" applyAlignment="1">
      <alignment horizontal="right"/>
      <protection/>
    </xf>
    <xf numFmtId="0" fontId="88" fillId="0" borderId="12" xfId="66" applyFont="1" applyBorder="1">
      <alignment/>
      <protection/>
    </xf>
    <xf numFmtId="0" fontId="5" fillId="0" borderId="38" xfId="66" applyFont="1" applyBorder="1" applyAlignment="1">
      <alignment horizontal="center" vertical="center" wrapText="1"/>
      <protection/>
    </xf>
    <xf numFmtId="0" fontId="11" fillId="0" borderId="21" xfId="66" applyFont="1" applyBorder="1" applyAlignment="1">
      <alignment horizontal="left" vertical="center" indent="1"/>
      <protection/>
    </xf>
    <xf numFmtId="2" fontId="31" fillId="0" borderId="13" xfId="66" applyNumberFormat="1" applyFont="1" applyBorder="1" applyAlignment="1">
      <alignment horizontal="right" vertical="center"/>
      <protection/>
    </xf>
    <xf numFmtId="0" fontId="5" fillId="0" borderId="19" xfId="66" applyFont="1" applyBorder="1">
      <alignment/>
      <protection/>
    </xf>
    <xf numFmtId="4" fontId="3" fillId="0" borderId="34" xfId="66" applyNumberFormat="1" applyFont="1" applyBorder="1" applyAlignment="1">
      <alignment horizontal="center" vertical="center"/>
      <protection/>
    </xf>
    <xf numFmtId="177" fontId="4" fillId="0" borderId="15" xfId="66" applyNumberFormat="1" applyFont="1" applyBorder="1" applyAlignment="1">
      <alignment horizontal="center"/>
      <protection/>
    </xf>
    <xf numFmtId="0" fontId="4" fillId="0" borderId="16" xfId="66" applyFont="1" applyBorder="1" applyAlignment="1">
      <alignment horizontal="center"/>
      <protection/>
    </xf>
    <xf numFmtId="0" fontId="5" fillId="0" borderId="36" xfId="66" applyFont="1" applyBorder="1" applyAlignment="1">
      <alignment horizontal="center" vertical="center" wrapText="1"/>
      <protection/>
    </xf>
    <xf numFmtId="0" fontId="4" fillId="0" borderId="12" xfId="66" applyFont="1" applyBorder="1">
      <alignment/>
      <protection/>
    </xf>
    <xf numFmtId="0" fontId="4" fillId="33" borderId="18" xfId="66" applyFont="1" applyFill="1" applyBorder="1">
      <alignment/>
      <protection/>
    </xf>
    <xf numFmtId="0" fontId="4" fillId="0" borderId="0" xfId="66" applyFont="1" applyBorder="1" applyAlignment="1">
      <alignment horizontal="center" vertical="top" wrapText="1"/>
      <protection/>
    </xf>
    <xf numFmtId="0" fontId="4" fillId="0" borderId="0" xfId="66" applyFont="1" applyBorder="1" applyAlignment="1">
      <alignment horizontal="center"/>
      <protection/>
    </xf>
    <xf numFmtId="2" fontId="4" fillId="0" borderId="18" xfId="66" applyNumberFormat="1" applyFont="1" applyBorder="1" applyAlignment="1">
      <alignment vertical="center"/>
      <protection/>
    </xf>
    <xf numFmtId="0" fontId="4" fillId="0" borderId="0" xfId="66" applyFont="1" applyBorder="1" applyAlignment="1">
      <alignment horizontal="center" vertical="center"/>
      <protection/>
    </xf>
    <xf numFmtId="0" fontId="4" fillId="0" borderId="12" xfId="66" applyFont="1" applyBorder="1" applyAlignment="1">
      <alignment horizontal="left" vertical="center" indent="1"/>
      <protection/>
    </xf>
    <xf numFmtId="0" fontId="4" fillId="0" borderId="0" xfId="66" applyFont="1" applyBorder="1" applyAlignment="1">
      <alignment horizontal="center" vertical="center" wrapText="1"/>
      <protection/>
    </xf>
    <xf numFmtId="187" fontId="4" fillId="0" borderId="18" xfId="66" applyNumberFormat="1" applyFont="1" applyBorder="1" applyAlignment="1">
      <alignment vertical="center"/>
      <protection/>
    </xf>
    <xf numFmtId="2" fontId="31" fillId="0" borderId="13" xfId="66" applyNumberFormat="1" applyFont="1" applyBorder="1" applyAlignment="1">
      <alignment horizontal="center" vertical="center"/>
      <protection/>
    </xf>
    <xf numFmtId="0" fontId="5" fillId="0" borderId="13" xfId="66" applyFont="1" applyBorder="1">
      <alignment/>
      <protection/>
    </xf>
    <xf numFmtId="4" fontId="5" fillId="0" borderId="35" xfId="66" applyNumberFormat="1" applyFont="1" applyBorder="1" applyAlignment="1">
      <alignment horizontal="center" vertical="center"/>
      <protection/>
    </xf>
    <xf numFmtId="0" fontId="3" fillId="0" borderId="39" xfId="66" applyFont="1" applyBorder="1" applyAlignment="1">
      <alignment horizontal="center" vertical="center"/>
      <protection/>
    </xf>
    <xf numFmtId="0" fontId="5" fillId="0" borderId="11" xfId="66" applyFont="1" applyBorder="1" applyAlignment="1">
      <alignment horizontal="left" vertical="center"/>
      <protection/>
    </xf>
    <xf numFmtId="0" fontId="5" fillId="0" borderId="10" xfId="66" applyFont="1" applyBorder="1" applyAlignment="1">
      <alignment horizontal="left" vertical="center"/>
      <protection/>
    </xf>
    <xf numFmtId="4" fontId="3" fillId="0" borderId="35" xfId="66" applyNumberFormat="1" applyFont="1" applyBorder="1" applyAlignment="1">
      <alignment horizontal="center"/>
      <protection/>
    </xf>
    <xf numFmtId="4" fontId="5" fillId="0" borderId="35" xfId="66" applyNumberFormat="1" applyFont="1" applyBorder="1" applyAlignment="1">
      <alignment horizontal="center"/>
      <protection/>
    </xf>
    <xf numFmtId="0" fontId="3" fillId="0" borderId="14" xfId="66" applyFont="1" applyBorder="1" applyAlignment="1">
      <alignment horizontal="left" vertical="top" wrapText="1"/>
      <protection/>
    </xf>
    <xf numFmtId="9" fontId="3" fillId="0" borderId="10" xfId="66" applyNumberFormat="1" applyFont="1" applyBorder="1" applyAlignment="1">
      <alignment horizontal="center" vertical="top" wrapText="1"/>
      <protection/>
    </xf>
    <xf numFmtId="0" fontId="4" fillId="0" borderId="10" xfId="66" applyFont="1" applyBorder="1" applyAlignment="1">
      <alignment horizontal="left" vertical="center" wrapText="1"/>
      <protection/>
    </xf>
    <xf numFmtId="2" fontId="12" fillId="0" borderId="10" xfId="66" applyNumberFormat="1" applyFont="1" applyBorder="1" applyAlignment="1">
      <alignment horizontal="center" vertical="center"/>
      <protection/>
    </xf>
    <xf numFmtId="2" fontId="3" fillId="0" borderId="10" xfId="66" applyNumberFormat="1" applyFont="1" applyBorder="1" applyAlignment="1">
      <alignment horizontal="center" vertical="center"/>
      <protection/>
    </xf>
    <xf numFmtId="4" fontId="5" fillId="0" borderId="10" xfId="66" applyNumberFormat="1" applyFont="1" applyBorder="1" applyAlignment="1">
      <alignment horizontal="center"/>
      <protection/>
    </xf>
    <xf numFmtId="0" fontId="63" fillId="0" borderId="0" xfId="66" applyFont="1">
      <alignment/>
      <protection/>
    </xf>
    <xf numFmtId="0" fontId="88" fillId="0" borderId="0" xfId="66" applyFont="1" applyAlignment="1">
      <alignment/>
      <protection/>
    </xf>
    <xf numFmtId="0" fontId="88" fillId="0" borderId="0" xfId="66" applyFont="1" applyFill="1" applyAlignment="1">
      <alignment/>
      <protection/>
    </xf>
    <xf numFmtId="0" fontId="3" fillId="0" borderId="0" xfId="54" applyFont="1">
      <alignment/>
      <protection/>
    </xf>
    <xf numFmtId="0" fontId="3" fillId="0" borderId="0" xfId="54" applyFont="1" applyAlignment="1">
      <alignment horizontal="right"/>
      <protection/>
    </xf>
    <xf numFmtId="0" fontId="3" fillId="0" borderId="0" xfId="54" applyFont="1" applyAlignment="1">
      <alignment horizontal="left"/>
      <protection/>
    </xf>
    <xf numFmtId="0" fontId="3" fillId="0" borderId="0" xfId="54" applyFont="1" applyAlignment="1">
      <alignment horizontal="center"/>
      <protection/>
    </xf>
    <xf numFmtId="0" fontId="3" fillId="0" borderId="0" xfId="54" applyFont="1" applyAlignment="1">
      <alignment horizontal="left" vertical="top"/>
      <protection/>
    </xf>
    <xf numFmtId="0" fontId="3" fillId="0" borderId="0" xfId="54" applyFont="1" applyAlignment="1">
      <alignment horizontal="center" vertical="top"/>
      <protection/>
    </xf>
    <xf numFmtId="0" fontId="0" fillId="0" borderId="0" xfId="54">
      <alignment/>
      <protection/>
    </xf>
    <xf numFmtId="0" fontId="3" fillId="0" borderId="40" xfId="54" applyFont="1" applyBorder="1" applyAlignment="1">
      <alignment horizontal="left" vertical="center"/>
      <protection/>
    </xf>
    <xf numFmtId="0" fontId="3" fillId="0" borderId="41" xfId="54" applyFont="1" applyBorder="1" applyAlignment="1">
      <alignment horizontal="left" vertical="center" wrapText="1" indent="1"/>
      <protection/>
    </xf>
    <xf numFmtId="0" fontId="3" fillId="0" borderId="41" xfId="54" applyFont="1" applyBorder="1" applyAlignment="1">
      <alignment horizontal="left" vertical="center" indent="1"/>
      <protection/>
    </xf>
    <xf numFmtId="0" fontId="15" fillId="34" borderId="40" xfId="54" applyFont="1" applyFill="1" applyBorder="1" applyAlignment="1">
      <alignment horizontal="left" vertical="center"/>
      <protection/>
    </xf>
    <xf numFmtId="0" fontId="3" fillId="0" borderId="42" xfId="54" applyFont="1" applyFill="1" applyBorder="1" applyAlignment="1">
      <alignment vertical="center" wrapText="1"/>
      <protection/>
    </xf>
    <xf numFmtId="0" fontId="3" fillId="0" borderId="43" xfId="54" applyFont="1" applyFill="1" applyBorder="1" applyAlignment="1">
      <alignment vertical="center" wrapText="1"/>
      <protection/>
    </xf>
    <xf numFmtId="0" fontId="3" fillId="0" borderId="40" xfId="54" applyFont="1" applyBorder="1" applyAlignment="1">
      <alignment vertical="center"/>
      <protection/>
    </xf>
    <xf numFmtId="0" fontId="34" fillId="0" borderId="40" xfId="54" applyFont="1" applyBorder="1" applyAlignment="1">
      <alignment vertical="center"/>
      <protection/>
    </xf>
    <xf numFmtId="0" fontId="5" fillId="0" borderId="40" xfId="54" applyFont="1" applyBorder="1" applyAlignment="1">
      <alignment vertical="center"/>
      <protection/>
    </xf>
    <xf numFmtId="0" fontId="5" fillId="0" borderId="44" xfId="54" applyFont="1" applyBorder="1" applyAlignment="1">
      <alignment vertical="center"/>
      <protection/>
    </xf>
    <xf numFmtId="0" fontId="3" fillId="0" borderId="45" xfId="54" applyFont="1" applyBorder="1" applyAlignment="1">
      <alignment horizontal="left" vertical="center" wrapText="1" indent="1"/>
      <protection/>
    </xf>
    <xf numFmtId="0" fontId="3" fillId="0" borderId="0" xfId="54" applyFont="1" applyAlignment="1">
      <alignment vertical="center"/>
      <protection/>
    </xf>
    <xf numFmtId="4" fontId="3" fillId="0" borderId="0" xfId="54" applyNumberFormat="1" applyFont="1" applyAlignment="1">
      <alignment horizontal="center" vertical="center"/>
      <protection/>
    </xf>
    <xf numFmtId="0" fontId="7" fillId="0" borderId="0" xfId="54" applyFont="1" applyAlignment="1">
      <alignment vertical="center"/>
      <protection/>
    </xf>
    <xf numFmtId="4" fontId="5" fillId="0" borderId="46" xfId="54" applyNumberFormat="1" applyFont="1" applyFill="1" applyBorder="1" applyAlignment="1">
      <alignment horizontal="right" vertical="center"/>
      <protection/>
    </xf>
    <xf numFmtId="193" fontId="3" fillId="0" borderId="46" xfId="54" applyNumberFormat="1" applyFont="1" applyFill="1" applyBorder="1" applyAlignment="1">
      <alignment horizontal="right" vertical="center"/>
      <protection/>
    </xf>
    <xf numFmtId="4" fontId="3" fillId="0" borderId="46" xfId="54" applyNumberFormat="1" applyFont="1" applyFill="1" applyBorder="1" applyAlignment="1">
      <alignment horizontal="right" vertical="center"/>
      <protection/>
    </xf>
    <xf numFmtId="4" fontId="5" fillId="0" borderId="46" xfId="54" applyNumberFormat="1" applyFont="1" applyFill="1" applyBorder="1" applyAlignment="1">
      <alignment vertical="center"/>
      <protection/>
    </xf>
    <xf numFmtId="4" fontId="3" fillId="0" borderId="46" xfId="54" applyNumberFormat="1" applyFont="1" applyFill="1" applyBorder="1" applyAlignment="1">
      <alignment vertical="center"/>
      <protection/>
    </xf>
    <xf numFmtId="4" fontId="5" fillId="0" borderId="47" xfId="54" applyNumberFormat="1" applyFont="1" applyFill="1" applyBorder="1" applyAlignment="1">
      <alignment vertical="center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left" vertical="center" wrapText="1"/>
      <protection/>
    </xf>
    <xf numFmtId="0" fontId="3" fillId="0" borderId="10" xfId="54" applyFont="1" applyBorder="1" applyAlignment="1">
      <alignment horizontal="center" vertical="center"/>
      <protection/>
    </xf>
    <xf numFmtId="4" fontId="3" fillId="0" borderId="10" xfId="54" applyNumberFormat="1" applyFont="1" applyBorder="1" applyAlignment="1">
      <alignment horizontal="center" vertical="center"/>
      <protection/>
    </xf>
    <xf numFmtId="4" fontId="3" fillId="0" borderId="10" xfId="54" applyNumberFormat="1" applyFont="1" applyFill="1" applyBorder="1" applyAlignment="1">
      <alignment horizontal="center" vertical="center"/>
      <protection/>
    </xf>
    <xf numFmtId="0" fontId="3" fillId="0" borderId="14" xfId="0" applyFont="1" applyBorder="1" applyAlignment="1">
      <alignment horizontal="left" vertical="center" wrapText="1"/>
    </xf>
    <xf numFmtId="4" fontId="3" fillId="0" borderId="0" xfId="54" applyNumberFormat="1" applyFont="1">
      <alignment/>
      <protection/>
    </xf>
    <xf numFmtId="0" fontId="7" fillId="0" borderId="0" xfId="54" applyFont="1" applyAlignment="1">
      <alignment/>
      <protection/>
    </xf>
    <xf numFmtId="0" fontId="4" fillId="0" borderId="10" xfId="57" applyNumberFormat="1" applyFont="1" applyFill="1" applyBorder="1" applyAlignment="1">
      <alignment horizontal="left" vertical="top" wrapText="1"/>
      <protection/>
    </xf>
    <xf numFmtId="0" fontId="3" fillId="0" borderId="11" xfId="57" applyFont="1" applyBorder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3" fillId="0" borderId="0" xfId="63" applyFont="1" applyAlignment="1">
      <alignment vertical="center"/>
      <protection/>
    </xf>
    <xf numFmtId="0" fontId="3" fillId="0" borderId="0" xfId="63" applyFont="1">
      <alignment/>
      <protection/>
    </xf>
    <xf numFmtId="0" fontId="3" fillId="0" borderId="15" xfId="63" applyFont="1" applyBorder="1" applyAlignment="1">
      <alignment vertical="center" wrapText="1"/>
      <protection/>
    </xf>
    <xf numFmtId="0" fontId="3" fillId="0" borderId="15" xfId="63" applyFont="1" applyBorder="1" applyAlignment="1">
      <alignment horizontal="center" vertical="center" wrapText="1"/>
      <protection/>
    </xf>
    <xf numFmtId="0" fontId="3" fillId="0" borderId="15" xfId="63" applyFont="1" applyBorder="1" applyAlignment="1">
      <alignment horizontal="center" wrapText="1"/>
      <protection/>
    </xf>
    <xf numFmtId="0" fontId="3" fillId="0" borderId="15" xfId="63" applyFont="1" applyBorder="1" applyAlignment="1">
      <alignment horizontal="center" vertical="center"/>
      <protection/>
    </xf>
    <xf numFmtId="0" fontId="3" fillId="0" borderId="22" xfId="63" applyFont="1" applyBorder="1" applyAlignment="1">
      <alignment vertical="center" wrapText="1"/>
      <protection/>
    </xf>
    <xf numFmtId="0" fontId="3" fillId="0" borderId="22" xfId="63" applyFont="1" applyBorder="1" applyAlignment="1">
      <alignment horizontal="center" wrapText="1"/>
      <protection/>
    </xf>
    <xf numFmtId="0" fontId="3" fillId="0" borderId="23" xfId="63" applyFont="1" applyBorder="1">
      <alignment/>
      <protection/>
    </xf>
    <xf numFmtId="0" fontId="3" fillId="0" borderId="16" xfId="63" applyFont="1" applyBorder="1" applyAlignment="1">
      <alignment horizontal="center" wrapText="1"/>
      <protection/>
    </xf>
    <xf numFmtId="0" fontId="3" fillId="0" borderId="17" xfId="63" applyFont="1" applyBorder="1" applyAlignment="1">
      <alignment vertical="center" wrapText="1"/>
      <protection/>
    </xf>
    <xf numFmtId="0" fontId="3" fillId="0" borderId="17" xfId="63" applyFont="1" applyBorder="1" applyAlignment="1">
      <alignment horizontal="left" vertical="top" wrapText="1"/>
      <protection/>
    </xf>
    <xf numFmtId="0" fontId="3" fillId="0" borderId="12" xfId="63" applyFont="1" applyBorder="1" applyAlignment="1">
      <alignment horizontal="center" vertical="center" wrapText="1"/>
      <protection/>
    </xf>
    <xf numFmtId="0" fontId="3" fillId="0" borderId="18" xfId="63" applyFont="1" applyBorder="1">
      <alignment/>
      <protection/>
    </xf>
    <xf numFmtId="0" fontId="3" fillId="0" borderId="0" xfId="63" applyFont="1" applyBorder="1" applyAlignment="1">
      <alignment horizontal="center" wrapText="1"/>
      <protection/>
    </xf>
    <xf numFmtId="0" fontId="3" fillId="0" borderId="12" xfId="63" applyFont="1" applyBorder="1" applyAlignment="1">
      <alignment horizontal="center" vertical="center"/>
      <protection/>
    </xf>
    <xf numFmtId="0" fontId="3" fillId="0" borderId="15" xfId="57" applyFont="1" applyBorder="1" applyAlignment="1">
      <alignment vertical="center" wrapText="1"/>
      <protection/>
    </xf>
    <xf numFmtId="0" fontId="5" fillId="0" borderId="16" xfId="57" applyFont="1" applyBorder="1" applyAlignment="1">
      <alignment horizontal="center" vertical="center" wrapText="1"/>
      <protection/>
    </xf>
    <xf numFmtId="0" fontId="5" fillId="0" borderId="15" xfId="57" applyFont="1" applyBorder="1" applyAlignment="1">
      <alignment horizontal="center" vertical="center" wrapText="1"/>
      <protection/>
    </xf>
    <xf numFmtId="0" fontId="3" fillId="0" borderId="15" xfId="57" applyFont="1" applyBorder="1" applyAlignment="1">
      <alignment horizontal="center" vertical="center" wrapText="1"/>
      <protection/>
    </xf>
    <xf numFmtId="0" fontId="3" fillId="0" borderId="22" xfId="57" applyFont="1" applyBorder="1" applyAlignment="1">
      <alignment vertical="center" wrapText="1"/>
      <protection/>
    </xf>
    <xf numFmtId="0" fontId="3" fillId="0" borderId="16" xfId="57" applyFont="1" applyBorder="1" applyAlignment="1">
      <alignment vertical="center" wrapText="1"/>
      <protection/>
    </xf>
    <xf numFmtId="0" fontId="3" fillId="0" borderId="23" xfId="57" applyFont="1" applyBorder="1" applyAlignment="1">
      <alignment vertical="center" wrapText="1"/>
      <protection/>
    </xf>
    <xf numFmtId="4" fontId="3" fillId="0" borderId="15" xfId="57" applyNumberFormat="1" applyFont="1" applyBorder="1" applyAlignment="1">
      <alignment horizontal="center" vertical="center"/>
      <protection/>
    </xf>
    <xf numFmtId="0" fontId="3" fillId="0" borderId="12" xfId="57" applyFont="1" applyBorder="1" applyAlignment="1">
      <alignment vertical="center" wrapText="1"/>
      <protection/>
    </xf>
    <xf numFmtId="175" fontId="3" fillId="0" borderId="12" xfId="57" applyNumberFormat="1" applyFont="1" applyBorder="1" applyAlignment="1">
      <alignment horizontal="center" vertical="center" wrapText="1"/>
      <protection/>
    </xf>
    <xf numFmtId="0" fontId="3" fillId="0" borderId="12" xfId="57" applyFont="1" applyBorder="1" applyAlignment="1">
      <alignment horizontal="center" vertical="center" wrapText="1"/>
      <protection/>
    </xf>
    <xf numFmtId="0" fontId="3" fillId="0" borderId="17" xfId="57" applyFont="1" applyBorder="1" applyAlignment="1">
      <alignment vertical="center" wrapText="1"/>
      <protection/>
    </xf>
    <xf numFmtId="0" fontId="3" fillId="0" borderId="0" xfId="57" applyFont="1" applyBorder="1" applyAlignment="1">
      <alignment vertical="center" wrapText="1"/>
      <protection/>
    </xf>
    <xf numFmtId="0" fontId="3" fillId="0" borderId="12" xfId="57" applyFont="1" applyBorder="1" applyAlignment="1">
      <alignment horizontal="center" vertical="center"/>
      <protection/>
    </xf>
    <xf numFmtId="0" fontId="3" fillId="0" borderId="12" xfId="57" applyFont="1" applyBorder="1" applyAlignment="1">
      <alignment vertical="center"/>
      <protection/>
    </xf>
    <xf numFmtId="0" fontId="12" fillId="0" borderId="0" xfId="57" applyFont="1" applyAlignment="1">
      <alignment wrapText="1"/>
      <protection/>
    </xf>
    <xf numFmtId="0" fontId="3" fillId="0" borderId="12" xfId="57" applyFont="1" applyFill="1" applyBorder="1" applyAlignment="1">
      <alignment horizontal="center" vertical="center"/>
      <protection/>
    </xf>
    <xf numFmtId="0" fontId="3" fillId="0" borderId="12" xfId="61" applyFont="1" applyBorder="1">
      <alignment/>
      <protection/>
    </xf>
    <xf numFmtId="0" fontId="3" fillId="0" borderId="17" xfId="57" applyFont="1" applyBorder="1" applyAlignment="1">
      <alignment/>
      <protection/>
    </xf>
    <xf numFmtId="0" fontId="3" fillId="0" borderId="0" xfId="57" applyFont="1" applyBorder="1" applyAlignment="1">
      <alignment/>
      <protection/>
    </xf>
    <xf numFmtId="0" fontId="3" fillId="0" borderId="18" xfId="57" applyFont="1" applyBorder="1" applyAlignment="1">
      <alignment/>
      <protection/>
    </xf>
    <xf numFmtId="0" fontId="3" fillId="0" borderId="0" xfId="57" applyFont="1" applyAlignment="1">
      <alignment/>
      <protection/>
    </xf>
    <xf numFmtId="0" fontId="3" fillId="0" borderId="12" xfId="57" applyFont="1" applyBorder="1" applyAlignment="1">
      <alignment/>
      <protection/>
    </xf>
    <xf numFmtId="0" fontId="3" fillId="0" borderId="19" xfId="57" applyFont="1" applyBorder="1" applyAlignment="1">
      <alignment vertical="center"/>
      <protection/>
    </xf>
    <xf numFmtId="0" fontId="12" fillId="0" borderId="21" xfId="57" applyFont="1" applyBorder="1" applyAlignment="1">
      <alignment wrapText="1"/>
      <protection/>
    </xf>
    <xf numFmtId="0" fontId="3" fillId="0" borderId="19" xfId="57" applyFont="1" applyFill="1" applyBorder="1" applyAlignment="1">
      <alignment horizontal="center" vertical="center"/>
      <protection/>
    </xf>
    <xf numFmtId="0" fontId="3" fillId="0" borderId="18" xfId="57" applyFont="1" applyBorder="1">
      <alignment/>
      <protection/>
    </xf>
    <xf numFmtId="0" fontId="3" fillId="0" borderId="10" xfId="57" applyFont="1" applyBorder="1" applyAlignment="1">
      <alignment vertical="center"/>
      <protection/>
    </xf>
    <xf numFmtId="0" fontId="12" fillId="0" borderId="11" xfId="57" applyFont="1" applyBorder="1" applyAlignment="1">
      <alignment wrapText="1"/>
      <protection/>
    </xf>
    <xf numFmtId="2" fontId="3" fillId="0" borderId="10" xfId="57" applyNumberFormat="1" applyFont="1" applyFill="1" applyBorder="1" applyAlignment="1">
      <alignment horizontal="center" vertical="center"/>
      <protection/>
    </xf>
    <xf numFmtId="0" fontId="12" fillId="0" borderId="11" xfId="57" applyFont="1" applyBorder="1" applyAlignment="1">
      <alignment vertical="top" wrapText="1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3" fillId="0" borderId="10" xfId="57" applyFont="1" applyBorder="1" applyAlignment="1">
      <alignment vertical="center" wrapText="1"/>
      <protection/>
    </xf>
    <xf numFmtId="0" fontId="3" fillId="0" borderId="14" xfId="65" applyFont="1" applyBorder="1" applyAlignment="1">
      <alignment vertical="center"/>
      <protection/>
    </xf>
    <xf numFmtId="0" fontId="3" fillId="0" borderId="10" xfId="65" applyFont="1" applyBorder="1" applyAlignment="1">
      <alignment horizontal="center" vertical="center"/>
      <protection/>
    </xf>
    <xf numFmtId="0" fontId="3" fillId="0" borderId="10" xfId="57" applyFont="1" applyBorder="1" applyAlignment="1">
      <alignment wrapText="1"/>
      <protection/>
    </xf>
    <xf numFmtId="0" fontId="3" fillId="0" borderId="21" xfId="57" applyFont="1" applyBorder="1" applyAlignment="1">
      <alignment vertical="center" wrapText="1"/>
      <protection/>
    </xf>
    <xf numFmtId="4" fontId="3" fillId="0" borderId="19" xfId="57" applyNumberFormat="1" applyFont="1" applyBorder="1" applyAlignment="1">
      <alignment horizontal="center" vertical="center"/>
      <protection/>
    </xf>
    <xf numFmtId="0" fontId="3" fillId="0" borderId="19" xfId="57" applyFont="1" applyBorder="1" applyAlignment="1">
      <alignment vertical="center" wrapText="1"/>
      <protection/>
    </xf>
    <xf numFmtId="0" fontId="3" fillId="0" borderId="0" xfId="65" applyFont="1" applyAlignment="1">
      <alignment vertical="center"/>
      <protection/>
    </xf>
    <xf numFmtId="0" fontId="3" fillId="0" borderId="19" xfId="65" applyFont="1" applyBorder="1" applyAlignment="1">
      <alignment horizontal="center" vertical="center" wrapText="1"/>
      <protection/>
    </xf>
    <xf numFmtId="0" fontId="5" fillId="0" borderId="19" xfId="57" applyFont="1" applyBorder="1">
      <alignment/>
      <protection/>
    </xf>
    <xf numFmtId="4" fontId="5" fillId="0" borderId="10" xfId="57" applyNumberFormat="1" applyFont="1" applyBorder="1" applyAlignment="1">
      <alignment wrapText="1"/>
      <protection/>
    </xf>
    <xf numFmtId="2" fontId="11" fillId="0" borderId="15" xfId="57" applyNumberFormat="1" applyFont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 wrapText="1"/>
      <protection/>
    </xf>
    <xf numFmtId="2" fontId="3" fillId="0" borderId="12" xfId="57" applyNumberFormat="1" applyFont="1" applyBorder="1" applyAlignment="1">
      <alignment horizontal="center" vertical="center" wrapText="1"/>
      <protection/>
    </xf>
    <xf numFmtId="4" fontId="3" fillId="0" borderId="12" xfId="57" applyNumberFormat="1" applyFont="1" applyBorder="1" applyAlignment="1">
      <alignment horizontal="center" vertical="center"/>
      <protection/>
    </xf>
    <xf numFmtId="175" fontId="4" fillId="0" borderId="12" xfId="57" applyNumberFormat="1" applyFont="1" applyBorder="1" applyAlignment="1">
      <alignment horizontal="center" vertical="center" wrapText="1"/>
      <protection/>
    </xf>
    <xf numFmtId="0" fontId="3" fillId="0" borderId="12" xfId="57" applyFont="1" applyBorder="1" applyAlignment="1">
      <alignment horizontal="left" vertical="center"/>
      <protection/>
    </xf>
    <xf numFmtId="0" fontId="12" fillId="0" borderId="0" xfId="57" applyFont="1" applyAlignment="1">
      <alignment vertical="top" wrapText="1"/>
      <protection/>
    </xf>
    <xf numFmtId="10" fontId="3" fillId="0" borderId="12" xfId="57" applyNumberFormat="1" applyFont="1" applyFill="1" applyBorder="1" applyAlignment="1">
      <alignment horizontal="center" vertical="center"/>
      <protection/>
    </xf>
    <xf numFmtId="0" fontId="3" fillId="0" borderId="20" xfId="57" applyFont="1" applyBorder="1" applyAlignment="1">
      <alignment vertical="center" wrapText="1"/>
      <protection/>
    </xf>
    <xf numFmtId="0" fontId="3" fillId="0" borderId="14" xfId="57" applyFont="1" applyBorder="1" applyAlignment="1">
      <alignment horizontal="left" wrapText="1"/>
      <protection/>
    </xf>
    <xf numFmtId="0" fontId="3" fillId="0" borderId="11" xfId="57" applyFont="1" applyBorder="1" applyAlignment="1">
      <alignment horizontal="left" wrapText="1"/>
      <protection/>
    </xf>
    <xf numFmtId="0" fontId="3" fillId="0" borderId="10" xfId="57" applyFont="1" applyBorder="1" applyAlignment="1">
      <alignment horizontal="left" wrapText="1"/>
      <protection/>
    </xf>
    <xf numFmtId="183" fontId="3" fillId="0" borderId="10" xfId="57" applyNumberFormat="1" applyFont="1" applyBorder="1" applyAlignment="1">
      <alignment horizontal="center" wrapText="1"/>
      <protection/>
    </xf>
    <xf numFmtId="0" fontId="3" fillId="0" borderId="14" xfId="57" applyFont="1" applyBorder="1" applyAlignment="1">
      <alignment vertical="center"/>
      <protection/>
    </xf>
    <xf numFmtId="0" fontId="3" fillId="0" borderId="11" xfId="57" applyFont="1" applyBorder="1">
      <alignment/>
      <protection/>
    </xf>
    <xf numFmtId="4" fontId="3" fillId="0" borderId="10" xfId="57" applyNumberFormat="1" applyFont="1" applyBorder="1" applyAlignment="1">
      <alignment horizontal="center"/>
      <protection/>
    </xf>
    <xf numFmtId="0" fontId="3" fillId="0" borderId="0" xfId="57" applyFont="1" applyAlignment="1">
      <alignment vertical="center"/>
      <protection/>
    </xf>
    <xf numFmtId="183" fontId="3" fillId="0" borderId="46" xfId="54" applyNumberFormat="1" applyFont="1" applyFill="1" applyBorder="1" applyAlignment="1">
      <alignment horizontal="right" vertical="center"/>
      <protection/>
    </xf>
    <xf numFmtId="184" fontId="3" fillId="0" borderId="46" xfId="54" applyNumberFormat="1" applyFont="1" applyFill="1" applyBorder="1" applyAlignment="1">
      <alignment horizontal="right" vertical="center"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10" xfId="54" applyFont="1" applyBorder="1" applyAlignment="1">
      <alignment horizontal="center" vertical="center" wrapText="1"/>
      <protection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6" fillId="0" borderId="10" xfId="54" applyFont="1" applyBorder="1" applyAlignment="1" applyProtection="1">
      <alignment horizontal="center" vertical="center" wrapText="1"/>
      <protection locked="0"/>
    </xf>
    <xf numFmtId="0" fontId="5" fillId="0" borderId="10" xfId="54" applyFont="1" applyBorder="1" applyAlignment="1">
      <alignment horizontal="center" vertical="center"/>
      <protection/>
    </xf>
    <xf numFmtId="2" fontId="4" fillId="0" borderId="0" xfId="57" applyNumberFormat="1" applyFont="1" applyBorder="1" applyAlignment="1">
      <alignment horizontal="center" wrapText="1"/>
      <protection/>
    </xf>
    <xf numFmtId="0" fontId="4" fillId="0" borderId="14" xfId="57" applyNumberFormat="1" applyFont="1" applyBorder="1" applyAlignment="1">
      <alignment horizontal="left" vertical="top" wrapText="1"/>
      <protection/>
    </xf>
    <xf numFmtId="0" fontId="4" fillId="0" borderId="24" xfId="57" applyNumberFormat="1" applyFont="1" applyBorder="1" applyAlignment="1">
      <alignment horizontal="left" vertical="top" wrapText="1"/>
      <protection/>
    </xf>
    <xf numFmtId="49" fontId="12" fillId="0" borderId="0" xfId="57" applyNumberFormat="1" applyFont="1" applyAlignment="1">
      <alignment horizontal="left" wrapText="1"/>
      <protection/>
    </xf>
    <xf numFmtId="49" fontId="11" fillId="0" borderId="21" xfId="57" applyNumberFormat="1" applyFont="1" applyFill="1" applyBorder="1" applyAlignment="1">
      <alignment horizontal="left" vertical="top" wrapText="1"/>
      <protection/>
    </xf>
    <xf numFmtId="49" fontId="3" fillId="0" borderId="14" xfId="57" applyNumberFormat="1" applyFont="1" applyBorder="1" applyAlignment="1">
      <alignment horizontal="left" wrapText="1"/>
      <protection/>
    </xf>
    <xf numFmtId="49" fontId="3" fillId="0" borderId="24" xfId="57" applyNumberFormat="1" applyFont="1" applyBorder="1" applyAlignment="1">
      <alignment horizontal="left" wrapText="1"/>
      <protection/>
    </xf>
    <xf numFmtId="4" fontId="3" fillId="0" borderId="22" xfId="57" applyNumberFormat="1" applyFont="1" applyBorder="1" applyAlignment="1">
      <alignment horizontal="center" wrapText="1"/>
      <protection/>
    </xf>
    <xf numFmtId="4" fontId="3" fillId="0" borderId="16" xfId="57" applyNumberFormat="1" applyFont="1" applyBorder="1" applyAlignment="1">
      <alignment horizontal="center" wrapText="1"/>
      <protection/>
    </xf>
    <xf numFmtId="4" fontId="3" fillId="0" borderId="14" xfId="57" applyNumberFormat="1" applyFont="1" applyBorder="1" applyAlignment="1">
      <alignment horizontal="center" wrapText="1"/>
      <protection/>
    </xf>
    <xf numFmtId="4" fontId="3" fillId="0" borderId="11" xfId="57" applyNumberFormat="1" applyFont="1" applyBorder="1" applyAlignment="1">
      <alignment horizontal="center" wrapText="1"/>
      <protection/>
    </xf>
    <xf numFmtId="0" fontId="12" fillId="0" borderId="0" xfId="57" applyFont="1" applyAlignment="1">
      <alignment horizontal="center" vertical="center"/>
      <protection/>
    </xf>
    <xf numFmtId="49" fontId="4" fillId="0" borderId="14" xfId="57" applyNumberFormat="1" applyFont="1" applyBorder="1" applyAlignment="1">
      <alignment horizontal="center" vertical="center" wrapText="1"/>
      <protection/>
    </xf>
    <xf numFmtId="49" fontId="4" fillId="0" borderId="24" xfId="57" applyNumberFormat="1" applyFont="1" applyBorder="1" applyAlignment="1">
      <alignment horizontal="center" vertical="center" wrapText="1"/>
      <protection/>
    </xf>
    <xf numFmtId="49" fontId="4" fillId="0" borderId="11" xfId="57" applyNumberFormat="1" applyFont="1" applyBorder="1" applyAlignment="1">
      <alignment horizontal="center" vertical="center" wrapText="1"/>
      <protection/>
    </xf>
    <xf numFmtId="49" fontId="4" fillId="0" borderId="14" xfId="57" applyNumberFormat="1" applyFont="1" applyBorder="1" applyAlignment="1">
      <alignment horizontal="center" wrapText="1"/>
      <protection/>
    </xf>
    <xf numFmtId="49" fontId="4" fillId="0" borderId="24" xfId="57" applyNumberFormat="1" applyFont="1" applyBorder="1" applyAlignment="1">
      <alignment horizontal="center" wrapText="1"/>
      <protection/>
    </xf>
    <xf numFmtId="49" fontId="4" fillId="0" borderId="11" xfId="57" applyNumberFormat="1" applyFont="1" applyBorder="1" applyAlignment="1">
      <alignment horizontal="center" wrapText="1"/>
      <protection/>
    </xf>
    <xf numFmtId="207" fontId="0" fillId="0" borderId="0" xfId="0" applyNumberFormat="1" applyAlignment="1">
      <alignment horizontal="center"/>
    </xf>
    <xf numFmtId="0" fontId="4" fillId="0" borderId="13" xfId="57" applyNumberFormat="1" applyFont="1" applyBorder="1" applyAlignment="1">
      <alignment horizontal="center" vertical="top" wrapText="1"/>
      <protection/>
    </xf>
    <xf numFmtId="0" fontId="4" fillId="0" borderId="21" xfId="57" applyNumberFormat="1" applyFont="1" applyBorder="1" applyAlignment="1">
      <alignment horizontal="center" vertical="top" wrapText="1"/>
      <protection/>
    </xf>
    <xf numFmtId="0" fontId="4" fillId="0" borderId="20" xfId="57" applyNumberFormat="1" applyFont="1" applyBorder="1" applyAlignment="1">
      <alignment horizontal="center" vertical="top" wrapText="1"/>
      <protection/>
    </xf>
    <xf numFmtId="0" fontId="4" fillId="0" borderId="17" xfId="57" applyNumberFormat="1" applyFont="1" applyBorder="1" applyAlignment="1">
      <alignment horizontal="center" vertical="top" wrapText="1"/>
      <protection/>
    </xf>
    <xf numFmtId="0" fontId="4" fillId="0" borderId="0" xfId="57" applyNumberFormat="1" applyFont="1" applyBorder="1" applyAlignment="1">
      <alignment horizontal="center" vertical="top" wrapText="1"/>
      <protection/>
    </xf>
    <xf numFmtId="0" fontId="4" fillId="0" borderId="18" xfId="57" applyNumberFormat="1" applyFont="1" applyBorder="1" applyAlignment="1">
      <alignment horizontal="center" vertical="top" wrapText="1"/>
      <protection/>
    </xf>
    <xf numFmtId="0" fontId="4" fillId="0" borderId="0" xfId="57" applyNumberFormat="1" applyFont="1" applyBorder="1" applyAlignment="1">
      <alignment horizontal="left" vertical="top" wrapText="1"/>
      <protection/>
    </xf>
    <xf numFmtId="0" fontId="4" fillId="0" borderId="22" xfId="57" applyNumberFormat="1" applyFont="1" applyBorder="1" applyAlignment="1">
      <alignment horizontal="center" vertical="top" wrapText="1"/>
      <protection/>
    </xf>
    <xf numFmtId="0" fontId="4" fillId="0" borderId="16" xfId="57" applyNumberFormat="1" applyFont="1" applyBorder="1" applyAlignment="1">
      <alignment horizontal="center" vertical="top" wrapText="1"/>
      <protection/>
    </xf>
    <xf numFmtId="0" fontId="4" fillId="0" borderId="23" xfId="57" applyNumberFormat="1" applyFont="1" applyBorder="1" applyAlignment="1">
      <alignment horizontal="center" vertical="top" wrapText="1"/>
      <protection/>
    </xf>
    <xf numFmtId="4" fontId="4" fillId="0" borderId="11" xfId="57" applyNumberFormat="1" applyFont="1" applyBorder="1" applyAlignment="1">
      <alignment horizontal="center" vertical="top" wrapText="1"/>
      <protection/>
    </xf>
    <xf numFmtId="0" fontId="4" fillId="0" borderId="14" xfId="58" applyNumberFormat="1" applyFont="1" applyBorder="1" applyAlignment="1">
      <alignment horizontal="center" vertical="top" wrapText="1"/>
      <protection/>
    </xf>
    <xf numFmtId="0" fontId="4" fillId="0" borderId="24" xfId="58" applyNumberFormat="1" applyFont="1" applyBorder="1" applyAlignment="1">
      <alignment horizontal="center" vertical="top" wrapText="1"/>
      <protection/>
    </xf>
    <xf numFmtId="20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3" fillId="0" borderId="11" xfId="57" applyNumberFormat="1" applyFont="1" applyBorder="1" applyAlignment="1">
      <alignment horizontal="center" wrapText="1"/>
      <protection/>
    </xf>
    <xf numFmtId="49" fontId="3" fillId="0" borderId="22" xfId="57" applyNumberFormat="1" applyFont="1" applyBorder="1" applyAlignment="1">
      <alignment horizontal="left" wrapText="1"/>
      <protection/>
    </xf>
    <xf numFmtId="49" fontId="3" fillId="0" borderId="23" xfId="57" applyNumberFormat="1" applyFont="1" applyBorder="1" applyAlignment="1">
      <alignment horizontal="left" wrapText="1"/>
      <protection/>
    </xf>
    <xf numFmtId="49" fontId="3" fillId="0" borderId="14" xfId="57" applyNumberFormat="1" applyFont="1" applyBorder="1" applyAlignment="1">
      <alignment horizontal="center" vertical="center" wrapText="1"/>
      <protection/>
    </xf>
    <xf numFmtId="49" fontId="3" fillId="0" borderId="11" xfId="57" applyNumberFormat="1" applyFont="1" applyBorder="1" applyAlignment="1">
      <alignment horizontal="center" vertical="center" wrapText="1"/>
      <protection/>
    </xf>
    <xf numFmtId="0" fontId="15" fillId="0" borderId="0" xfId="67" applyFont="1" applyAlignment="1" applyProtection="1">
      <alignment horizontal="left" wrapText="1"/>
      <protection locked="0"/>
    </xf>
    <xf numFmtId="0" fontId="15" fillId="0" borderId="0" xfId="67" applyFont="1" applyAlignment="1" applyProtection="1">
      <alignment horizontal="left" vertical="top" wrapText="1"/>
      <protection locked="0"/>
    </xf>
    <xf numFmtId="209" fontId="15" fillId="0" borderId="0" xfId="67" applyNumberFormat="1" applyFont="1" applyAlignment="1" applyProtection="1">
      <alignment horizontal="left" vertical="top" wrapText="1"/>
      <protection locked="0"/>
    </xf>
    <xf numFmtId="0" fontId="5" fillId="0" borderId="0" xfId="58" applyFont="1" applyAlignment="1">
      <alignment horizontal="center"/>
      <protection/>
    </xf>
    <xf numFmtId="0" fontId="5" fillId="0" borderId="0" xfId="58" applyFont="1" applyAlignment="1">
      <alignment horizontal="center" wrapText="1"/>
      <protection/>
    </xf>
    <xf numFmtId="49" fontId="5" fillId="0" borderId="0" xfId="57" applyNumberFormat="1" applyFont="1" applyFill="1" applyBorder="1" applyAlignment="1">
      <alignment horizontal="left" vertical="top" wrapText="1"/>
      <protection/>
    </xf>
    <xf numFmtId="49" fontId="17" fillId="0" borderId="21" xfId="57" applyNumberFormat="1" applyFont="1" applyFill="1" applyBorder="1" applyAlignment="1">
      <alignment horizontal="left" vertical="top" wrapText="1"/>
      <protection/>
    </xf>
    <xf numFmtId="0" fontId="18" fillId="0" borderId="10" xfId="58" applyFont="1" applyBorder="1" applyAlignment="1">
      <alignment horizontal="center" vertical="center" wrapText="1"/>
      <protection/>
    </xf>
    <xf numFmtId="0" fontId="3" fillId="0" borderId="22" xfId="58" applyFont="1" applyBorder="1" applyAlignment="1">
      <alignment horizontal="center" vertical="center" wrapText="1"/>
      <protection/>
    </xf>
    <xf numFmtId="0" fontId="3" fillId="0" borderId="16" xfId="58" applyFont="1" applyBorder="1" applyAlignment="1">
      <alignment horizontal="center" vertical="center" wrapText="1"/>
      <protection/>
    </xf>
    <xf numFmtId="0" fontId="3" fillId="0" borderId="13" xfId="58" applyFont="1" applyBorder="1" applyAlignment="1">
      <alignment horizontal="center" vertical="center" wrapText="1"/>
      <protection/>
    </xf>
    <xf numFmtId="0" fontId="3" fillId="0" borderId="21" xfId="58" applyFont="1" applyBorder="1" applyAlignment="1">
      <alignment horizontal="center" vertical="center" wrapText="1"/>
      <protection/>
    </xf>
    <xf numFmtId="0" fontId="3" fillId="0" borderId="15" xfId="58" applyFont="1" applyBorder="1" applyAlignment="1">
      <alignment horizontal="center" vertical="center" wrapText="1"/>
      <protection/>
    </xf>
    <xf numFmtId="0" fontId="3" fillId="0" borderId="19" xfId="58" applyFont="1" applyBorder="1" applyAlignment="1">
      <alignment horizontal="center" vertical="center" wrapText="1"/>
      <protection/>
    </xf>
    <xf numFmtId="0" fontId="3" fillId="0" borderId="22" xfId="58" applyFont="1" applyBorder="1" applyAlignment="1">
      <alignment horizontal="center" wrapText="1"/>
      <protection/>
    </xf>
    <xf numFmtId="0" fontId="3" fillId="0" borderId="16" xfId="58" applyFont="1" applyBorder="1" applyAlignment="1">
      <alignment horizontal="center" wrapText="1"/>
      <protection/>
    </xf>
    <xf numFmtId="0" fontId="21" fillId="0" borderId="14" xfId="58" applyFont="1" applyBorder="1" applyAlignment="1">
      <alignment horizontal="center" wrapText="1"/>
      <protection/>
    </xf>
    <xf numFmtId="0" fontId="21" fillId="0" borderId="11" xfId="58" applyFont="1" applyBorder="1" applyAlignment="1">
      <alignment horizontal="center" wrapText="1"/>
      <protection/>
    </xf>
    <xf numFmtId="0" fontId="21" fillId="0" borderId="24" xfId="58" applyFont="1" applyBorder="1" applyAlignment="1">
      <alignment horizontal="center" wrapText="1"/>
      <protection/>
    </xf>
    <xf numFmtId="0" fontId="22" fillId="0" borderId="12" xfId="58" applyFont="1" applyBorder="1" applyAlignment="1">
      <alignment horizontal="center" vertical="center"/>
      <protection/>
    </xf>
    <xf numFmtId="0" fontId="23" fillId="0" borderId="12" xfId="58" applyFont="1" applyBorder="1" applyAlignment="1">
      <alignment horizontal="center"/>
      <protection/>
    </xf>
    <xf numFmtId="0" fontId="18" fillId="0" borderId="15" xfId="58" applyFont="1" applyFill="1" applyBorder="1" applyAlignment="1">
      <alignment horizontal="left" vertical="center" wrapText="1"/>
      <protection/>
    </xf>
    <xf numFmtId="0" fontId="24" fillId="0" borderId="12" xfId="58" applyFont="1" applyFill="1" applyBorder="1" applyAlignment="1">
      <alignment horizontal="left" vertical="center" wrapText="1"/>
      <protection/>
    </xf>
    <xf numFmtId="0" fontId="18" fillId="0" borderId="17" xfId="58" applyFont="1" applyBorder="1" applyAlignment="1">
      <alignment vertical="top" wrapText="1"/>
      <protection/>
    </xf>
    <xf numFmtId="0" fontId="0" fillId="0" borderId="17" xfId="58" applyFont="1" applyBorder="1" applyAlignment="1">
      <alignment vertical="top" wrapText="1"/>
      <protection/>
    </xf>
    <xf numFmtId="0" fontId="18" fillId="0" borderId="17" xfId="58" applyFont="1" applyFill="1" applyBorder="1" applyAlignment="1">
      <alignment horizontal="center" wrapText="1"/>
      <protection/>
    </xf>
    <xf numFmtId="0" fontId="0" fillId="0" borderId="0" xfId="58" applyFont="1" applyFill="1" applyBorder="1" applyAlignment="1">
      <alignment horizontal="center" wrapText="1"/>
      <protection/>
    </xf>
    <xf numFmtId="0" fontId="18" fillId="0" borderId="17" xfId="58" applyFont="1" applyFill="1" applyBorder="1" applyAlignment="1">
      <alignment horizontal="center" vertical="center"/>
      <protection/>
    </xf>
    <xf numFmtId="0" fontId="0" fillId="0" borderId="0" xfId="58" applyFont="1" applyFill="1" applyBorder="1" applyAlignment="1">
      <alignment horizontal="center" vertical="center"/>
      <protection/>
    </xf>
    <xf numFmtId="0" fontId="21" fillId="0" borderId="14" xfId="58" applyFont="1" applyBorder="1" applyAlignment="1">
      <alignment horizontal="center" vertical="center"/>
      <protection/>
    </xf>
    <xf numFmtId="0" fontId="21" fillId="0" borderId="11" xfId="58" applyFont="1" applyBorder="1" applyAlignment="1">
      <alignment horizontal="center" vertical="center"/>
      <protection/>
    </xf>
    <xf numFmtId="0" fontId="3" fillId="0" borderId="11" xfId="58" applyFont="1" applyBorder="1" applyAlignment="1">
      <alignment horizontal="center" vertical="center"/>
      <protection/>
    </xf>
    <xf numFmtId="0" fontId="3" fillId="0" borderId="24" xfId="58" applyFont="1" applyBorder="1" applyAlignment="1">
      <alignment horizontal="center" vertical="center"/>
      <protection/>
    </xf>
    <xf numFmtId="0" fontId="3" fillId="0" borderId="11" xfId="58" applyFont="1" applyBorder="1" applyAlignment="1">
      <alignment horizontal="right" vertical="center"/>
      <protection/>
    </xf>
    <xf numFmtId="0" fontId="3" fillId="0" borderId="24" xfId="58" applyFont="1" applyBorder="1" applyAlignment="1">
      <alignment horizontal="right" vertical="center"/>
      <protection/>
    </xf>
    <xf numFmtId="1" fontId="3" fillId="0" borderId="11" xfId="58" applyNumberFormat="1" applyFont="1" applyBorder="1" applyAlignment="1">
      <alignment horizontal="center" vertical="center"/>
      <protection/>
    </xf>
    <xf numFmtId="0" fontId="3" fillId="0" borderId="11" xfId="58" applyFont="1" applyBorder="1" applyAlignment="1">
      <alignment/>
      <protection/>
    </xf>
    <xf numFmtId="0" fontId="18" fillId="0" borderId="14" xfId="58" applyFont="1" applyBorder="1" applyAlignment="1">
      <alignment horizontal="left" vertical="top" wrapText="1"/>
      <protection/>
    </xf>
    <xf numFmtId="0" fontId="18" fillId="0" borderId="24" xfId="58" applyFont="1" applyBorder="1" applyAlignment="1">
      <alignment horizontal="left" vertical="top" wrapText="1"/>
      <protection/>
    </xf>
    <xf numFmtId="2" fontId="3" fillId="0" borderId="14" xfId="58" applyNumberFormat="1" applyFont="1" applyBorder="1" applyAlignment="1">
      <alignment horizontal="center" vertical="center"/>
      <protection/>
    </xf>
    <xf numFmtId="2" fontId="3" fillId="0" borderId="11" xfId="58" applyNumberFormat="1" applyFont="1" applyBorder="1" applyAlignment="1">
      <alignment horizontal="center" vertical="center"/>
      <protection/>
    </xf>
    <xf numFmtId="2" fontId="3" fillId="0" borderId="11" xfId="58" applyNumberFormat="1" applyFont="1" applyBorder="1" applyAlignment="1">
      <alignment/>
      <protection/>
    </xf>
    <xf numFmtId="0" fontId="87" fillId="0" borderId="0" xfId="58" applyFont="1" applyAlignment="1">
      <alignment horizontal="center" vertical="center" wrapText="1"/>
      <protection/>
    </xf>
    <xf numFmtId="0" fontId="87" fillId="0" borderId="0" xfId="58" applyFont="1" applyBorder="1" applyAlignment="1">
      <alignment horizontal="center" vertical="center" wrapText="1"/>
      <protection/>
    </xf>
    <xf numFmtId="0" fontId="87" fillId="0" borderId="10" xfId="58" applyFont="1" applyBorder="1" applyAlignment="1">
      <alignment horizontal="center" vertical="center" wrapText="1"/>
      <protection/>
    </xf>
    <xf numFmtId="0" fontId="87" fillId="0" borderId="22" xfId="58" applyFont="1" applyBorder="1" applyAlignment="1">
      <alignment horizontal="center" vertical="center" wrapText="1"/>
      <protection/>
    </xf>
    <xf numFmtId="0" fontId="87" fillId="0" borderId="16" xfId="58" applyFont="1" applyBorder="1" applyAlignment="1">
      <alignment horizontal="center" vertical="center" wrapText="1"/>
      <protection/>
    </xf>
    <xf numFmtId="0" fontId="87" fillId="0" borderId="23" xfId="58" applyFont="1" applyBorder="1" applyAlignment="1">
      <alignment horizontal="center" vertical="center" wrapText="1"/>
      <protection/>
    </xf>
    <xf numFmtId="0" fontId="87" fillId="0" borderId="17" xfId="58" applyFont="1" applyBorder="1" applyAlignment="1">
      <alignment horizontal="center" vertical="center" wrapText="1"/>
      <protection/>
    </xf>
    <xf numFmtId="0" fontId="87" fillId="0" borderId="18" xfId="58" applyFont="1" applyBorder="1" applyAlignment="1">
      <alignment horizontal="center" vertical="center" wrapText="1"/>
      <protection/>
    </xf>
    <xf numFmtId="0" fontId="87" fillId="0" borderId="13" xfId="58" applyFont="1" applyBorder="1" applyAlignment="1">
      <alignment horizontal="center" vertical="center" wrapText="1"/>
      <protection/>
    </xf>
    <xf numFmtId="0" fontId="87" fillId="0" borderId="21" xfId="58" applyFont="1" applyBorder="1" applyAlignment="1">
      <alignment horizontal="center" vertical="center" wrapText="1"/>
      <protection/>
    </xf>
    <xf numFmtId="0" fontId="87" fillId="0" borderId="20" xfId="58" applyFont="1" applyBorder="1" applyAlignment="1">
      <alignment horizontal="center" vertical="center" wrapText="1"/>
      <protection/>
    </xf>
    <xf numFmtId="0" fontId="86" fillId="0" borderId="10" xfId="58" applyFont="1" applyBorder="1" applyAlignment="1">
      <alignment horizontal="left" vertical="center" wrapText="1"/>
      <protection/>
    </xf>
    <xf numFmtId="0" fontId="86" fillId="0" borderId="10" xfId="58" applyFont="1" applyBorder="1" applyAlignment="1">
      <alignment wrapText="1"/>
      <protection/>
    </xf>
    <xf numFmtId="0" fontId="87" fillId="0" borderId="15" xfId="58" applyFont="1" applyBorder="1" applyAlignment="1">
      <alignment horizontal="center" vertical="center" wrapText="1"/>
      <protection/>
    </xf>
    <xf numFmtId="0" fontId="86" fillId="0" borderId="15" xfId="58" applyFont="1" applyBorder="1" applyAlignment="1">
      <alignment wrapText="1"/>
      <protection/>
    </xf>
    <xf numFmtId="0" fontId="87" fillId="0" borderId="10" xfId="58" applyFont="1" applyBorder="1" applyAlignment="1">
      <alignment horizontal="left" vertical="center" wrapText="1"/>
      <protection/>
    </xf>
    <xf numFmtId="0" fontId="87" fillId="0" borderId="14" xfId="58" applyFont="1" applyBorder="1" applyAlignment="1">
      <alignment horizontal="left" vertical="center" wrapText="1"/>
      <protection/>
    </xf>
    <xf numFmtId="2" fontId="86" fillId="0" borderId="14" xfId="58" applyNumberFormat="1" applyFont="1" applyFill="1" applyBorder="1" applyAlignment="1">
      <alignment horizontal="right" vertical="center" wrapText="1"/>
      <protection/>
    </xf>
    <xf numFmtId="2" fontId="86" fillId="0" borderId="11" xfId="58" applyNumberFormat="1" applyFont="1" applyFill="1" applyBorder="1" applyAlignment="1">
      <alignment horizontal="right" vertical="center" wrapText="1"/>
      <protection/>
    </xf>
    <xf numFmtId="2" fontId="86" fillId="0" borderId="13" xfId="58" applyNumberFormat="1" applyFont="1" applyFill="1" applyBorder="1" applyAlignment="1">
      <alignment horizontal="right" vertical="center" wrapText="1"/>
      <protection/>
    </xf>
    <xf numFmtId="2" fontId="86" fillId="0" borderId="21" xfId="58" applyNumberFormat="1" applyFont="1" applyFill="1" applyBorder="1" applyAlignment="1">
      <alignment horizontal="right" vertical="center" wrapText="1"/>
      <protection/>
    </xf>
    <xf numFmtId="0" fontId="87" fillId="0" borderId="10" xfId="58" applyFont="1" applyFill="1" applyBorder="1" applyAlignment="1">
      <alignment horizontal="left" vertical="center" wrapText="1"/>
      <protection/>
    </xf>
    <xf numFmtId="0" fontId="87" fillId="0" borderId="14" xfId="58" applyFont="1" applyFill="1" applyBorder="1" applyAlignment="1">
      <alignment horizontal="left" vertical="center" wrapText="1"/>
      <protection/>
    </xf>
    <xf numFmtId="0" fontId="87" fillId="0" borderId="12" xfId="58" applyFont="1" applyBorder="1" applyAlignment="1">
      <alignment horizontal="center" vertical="center" wrapText="1"/>
      <protection/>
    </xf>
    <xf numFmtId="0" fontId="86" fillId="0" borderId="16" xfId="58" applyFont="1" applyBorder="1" applyAlignment="1">
      <alignment horizontal="left" vertical="center" wrapText="1"/>
      <protection/>
    </xf>
    <xf numFmtId="0" fontId="5" fillId="33" borderId="19" xfId="58" applyFont="1" applyFill="1" applyBorder="1" applyAlignment="1">
      <alignment horizontal="center" vertical="center" wrapText="1"/>
      <protection/>
    </xf>
    <xf numFmtId="0" fontId="5" fillId="33" borderId="12" xfId="58" applyFont="1" applyFill="1" applyBorder="1" applyAlignment="1">
      <alignment horizontal="center" vertical="center" wrapText="1"/>
      <protection/>
    </xf>
    <xf numFmtId="0" fontId="87" fillId="0" borderId="11" xfId="58" applyFont="1" applyBorder="1" applyAlignment="1">
      <alignment horizontal="left" vertical="center" wrapText="1"/>
      <protection/>
    </xf>
    <xf numFmtId="2" fontId="86" fillId="0" borderId="13" xfId="58" applyNumberFormat="1" applyFont="1" applyFill="1" applyBorder="1" applyAlignment="1">
      <alignment horizontal="right" vertical="center"/>
      <protection/>
    </xf>
    <xf numFmtId="2" fontId="86" fillId="0" borderId="21" xfId="58" applyNumberFormat="1" applyFont="1" applyFill="1" applyBorder="1" applyAlignment="1">
      <alignment horizontal="right" vertical="center"/>
      <protection/>
    </xf>
    <xf numFmtId="0" fontId="87" fillId="0" borderId="19" xfId="58" applyFont="1" applyBorder="1" applyAlignment="1">
      <alignment horizontal="center" vertical="center" wrapText="1"/>
      <protection/>
    </xf>
    <xf numFmtId="0" fontId="86" fillId="0" borderId="14" xfId="58" applyFont="1" applyBorder="1" applyAlignment="1">
      <alignment horizontal="right" vertical="center" wrapText="1"/>
      <protection/>
    </xf>
    <xf numFmtId="0" fontId="86" fillId="0" borderId="11" xfId="58" applyFont="1" applyBorder="1" applyAlignment="1">
      <alignment horizontal="right" vertical="center" wrapText="1"/>
      <protection/>
    </xf>
    <xf numFmtId="0" fontId="86" fillId="0" borderId="24" xfId="58" applyFont="1" applyBorder="1" applyAlignment="1">
      <alignment horizontal="right" vertical="center" wrapText="1"/>
      <protection/>
    </xf>
    <xf numFmtId="49" fontId="3" fillId="0" borderId="0" xfId="57" applyNumberFormat="1" applyFont="1" applyAlignment="1">
      <alignment horizontal="center" wrapText="1"/>
      <protection/>
    </xf>
    <xf numFmtId="0" fontId="8" fillId="0" borderId="14" xfId="57" applyFont="1" applyBorder="1" applyAlignment="1">
      <alignment horizontal="center" vertical="top" wrapText="1"/>
      <protection/>
    </xf>
    <xf numFmtId="0" fontId="8" fillId="0" borderId="11" xfId="57" applyFont="1" applyBorder="1" applyAlignment="1">
      <alignment horizontal="center" vertical="top" wrapText="1"/>
      <protection/>
    </xf>
    <xf numFmtId="0" fontId="8" fillId="0" borderId="24" xfId="57" applyFont="1" applyBorder="1" applyAlignment="1">
      <alignment horizontal="center" vertical="top" wrapText="1"/>
      <protection/>
    </xf>
    <xf numFmtId="0" fontId="8" fillId="0" borderId="21" xfId="57" applyFont="1" applyBorder="1" applyAlignment="1">
      <alignment horizontal="center"/>
      <protection/>
    </xf>
    <xf numFmtId="0" fontId="3" fillId="0" borderId="0" xfId="57" applyFont="1" applyAlignment="1">
      <alignment horizontal="center" vertical="center"/>
      <protection/>
    </xf>
    <xf numFmtId="0" fontId="3" fillId="0" borderId="14" xfId="57" applyFont="1" applyBorder="1" applyAlignment="1">
      <alignment horizontal="center" vertical="center" wrapText="1"/>
      <protection/>
    </xf>
    <xf numFmtId="0" fontId="3" fillId="0" borderId="24" xfId="57" applyFont="1" applyBorder="1" applyAlignment="1">
      <alignment horizontal="center" vertical="center" wrapText="1"/>
      <protection/>
    </xf>
    <xf numFmtId="0" fontId="3" fillId="0" borderId="11" xfId="57" applyFont="1" applyBorder="1" applyAlignment="1">
      <alignment horizontal="center" vertical="center" wrapText="1"/>
      <protection/>
    </xf>
    <xf numFmtId="49" fontId="5" fillId="0" borderId="21" xfId="57" applyNumberFormat="1" applyFont="1" applyBorder="1" applyAlignment="1">
      <alignment horizontal="center" vertical="center" wrapText="1"/>
      <protection/>
    </xf>
    <xf numFmtId="2" fontId="3" fillId="0" borderId="12" xfId="57" applyNumberFormat="1" applyFont="1" applyBorder="1" applyAlignment="1">
      <alignment horizontal="center" wrapText="1"/>
      <protection/>
    </xf>
    <xf numFmtId="2" fontId="3" fillId="0" borderId="19" xfId="57" applyNumberFormat="1" applyFont="1" applyBorder="1" applyAlignment="1">
      <alignment horizontal="center" wrapText="1"/>
      <protection/>
    </xf>
    <xf numFmtId="0" fontId="3" fillId="0" borderId="22" xfId="57" applyFont="1" applyBorder="1" applyAlignment="1">
      <alignment horizontal="center" vertical="top" wrapText="1"/>
      <protection/>
    </xf>
    <xf numFmtId="0" fontId="3" fillId="0" borderId="16" xfId="57" applyFont="1" applyBorder="1" applyAlignment="1">
      <alignment horizontal="center" vertical="top" wrapText="1"/>
      <protection/>
    </xf>
    <xf numFmtId="0" fontId="3" fillId="0" borderId="23" xfId="57" applyFont="1" applyBorder="1" applyAlignment="1">
      <alignment horizontal="center" wrapText="1"/>
      <protection/>
    </xf>
    <xf numFmtId="0" fontId="5" fillId="0" borderId="10" xfId="57" applyFont="1" applyBorder="1" applyAlignment="1">
      <alignment horizontal="left" vertical="top" wrapText="1"/>
      <protection/>
    </xf>
    <xf numFmtId="0" fontId="3" fillId="0" borderId="12" xfId="57" applyFont="1" applyBorder="1" applyAlignment="1">
      <alignment horizontal="center" vertical="top" wrapText="1"/>
      <protection/>
    </xf>
    <xf numFmtId="0" fontId="3" fillId="0" borderId="12" xfId="57" applyFont="1" applyBorder="1" applyAlignment="1">
      <alignment horizontal="left" vertical="center" wrapText="1"/>
      <protection/>
    </xf>
    <xf numFmtId="0" fontId="3" fillId="0" borderId="12" xfId="57" applyFont="1" applyBorder="1" applyAlignment="1">
      <alignment horizontal="left" wrapText="1"/>
      <protection/>
    </xf>
    <xf numFmtId="0" fontId="3" fillId="0" borderId="17" xfId="57" applyFont="1" applyBorder="1" applyAlignment="1">
      <alignment horizontal="center" vertical="top" wrapText="1"/>
      <protection/>
    </xf>
    <xf numFmtId="0" fontId="3" fillId="0" borderId="0" xfId="57" applyFont="1" applyBorder="1" applyAlignment="1">
      <alignment horizontal="center" vertical="top" wrapText="1"/>
      <protection/>
    </xf>
    <xf numFmtId="0" fontId="3" fillId="0" borderId="11" xfId="57" applyFont="1" applyBorder="1" applyAlignment="1">
      <alignment horizontal="left" vertical="top" wrapText="1"/>
      <protection/>
    </xf>
    <xf numFmtId="0" fontId="3" fillId="0" borderId="15" xfId="57" applyFont="1" applyBorder="1" applyAlignment="1">
      <alignment horizontal="center" vertical="top" wrapText="1"/>
      <protection/>
    </xf>
    <xf numFmtId="0" fontId="3" fillId="0" borderId="19" xfId="57" applyFont="1" applyBorder="1" applyAlignment="1">
      <alignment horizontal="center" vertical="top" wrapText="1"/>
      <protection/>
    </xf>
    <xf numFmtId="0" fontId="3" fillId="0" borderId="15" xfId="57" applyFont="1" applyBorder="1" applyAlignment="1">
      <alignment horizontal="left" vertical="center" wrapText="1"/>
      <protection/>
    </xf>
    <xf numFmtId="0" fontId="3" fillId="0" borderId="19" xfId="57" applyFont="1" applyBorder="1" applyAlignment="1">
      <alignment horizontal="left" wrapText="1"/>
      <protection/>
    </xf>
    <xf numFmtId="0" fontId="3" fillId="0" borderId="14" xfId="57" applyFont="1" applyBorder="1" applyAlignment="1">
      <alignment wrapText="1"/>
      <protection/>
    </xf>
    <xf numFmtId="0" fontId="3" fillId="0" borderId="11" xfId="57" applyFont="1" applyBorder="1" applyAlignment="1">
      <alignment wrapText="1"/>
      <protection/>
    </xf>
    <xf numFmtId="0" fontId="3" fillId="0" borderId="14" xfId="57" applyFont="1" applyBorder="1" applyAlignment="1">
      <alignment horizontal="left" vertical="center" indent="2"/>
      <protection/>
    </xf>
    <xf numFmtId="0" fontId="3" fillId="0" borderId="11" xfId="57" applyFont="1" applyBorder="1" applyAlignment="1">
      <alignment horizontal="left" vertical="center" indent="2"/>
      <protection/>
    </xf>
    <xf numFmtId="0" fontId="3" fillId="0" borderId="13" xfId="57" applyFont="1" applyBorder="1" applyAlignment="1">
      <alignment horizontal="left" vertical="center" indent="2"/>
      <protection/>
    </xf>
    <xf numFmtId="0" fontId="3" fillId="0" borderId="21" xfId="57" applyFont="1" applyBorder="1" applyAlignment="1">
      <alignment horizontal="left" vertical="center" indent="2"/>
      <protection/>
    </xf>
    <xf numFmtId="0" fontId="3" fillId="0" borderId="11" xfId="57" applyFont="1" applyBorder="1" applyAlignment="1">
      <alignment horizontal="center" vertical="center"/>
      <protection/>
    </xf>
    <xf numFmtId="2" fontId="3" fillId="0" borderId="15" xfId="57" applyNumberFormat="1" applyFont="1" applyBorder="1" applyAlignment="1">
      <alignment horizontal="center" wrapText="1"/>
      <protection/>
    </xf>
    <xf numFmtId="2" fontId="3" fillId="0" borderId="15" xfId="57" applyNumberFormat="1" applyFont="1" applyBorder="1" applyAlignment="1">
      <alignment horizontal="center" vertical="top" wrapText="1"/>
      <protection/>
    </xf>
    <xf numFmtId="2" fontId="3" fillId="0" borderId="12" xfId="57" applyNumberFormat="1" applyFont="1" applyBorder="1" applyAlignment="1">
      <alignment horizontal="center" vertical="top" wrapText="1"/>
      <protection/>
    </xf>
    <xf numFmtId="49" fontId="5" fillId="0" borderId="0" xfId="57" applyNumberFormat="1" applyFont="1" applyAlignment="1">
      <alignment horizontal="center" vertical="top" wrapText="1"/>
      <protection/>
    </xf>
    <xf numFmtId="0" fontId="3" fillId="0" borderId="15" xfId="57" applyFont="1" applyBorder="1" applyAlignment="1">
      <alignment horizontal="left" vertical="top" wrapText="1"/>
      <protection/>
    </xf>
    <xf numFmtId="0" fontId="3" fillId="0" borderId="12" xfId="57" applyFont="1" applyBorder="1" applyAlignment="1">
      <alignment horizontal="left" vertical="top" wrapText="1"/>
      <protection/>
    </xf>
    <xf numFmtId="0" fontId="5" fillId="0" borderId="14" xfId="57" applyFont="1" applyBorder="1" applyAlignment="1">
      <alignment horizontal="left" vertical="top" wrapText="1"/>
      <protection/>
    </xf>
    <xf numFmtId="0" fontId="5" fillId="0" borderId="11" xfId="57" applyFont="1" applyBorder="1" applyAlignment="1">
      <alignment horizontal="left" vertical="top" wrapText="1"/>
      <protection/>
    </xf>
    <xf numFmtId="0" fontId="3" fillId="0" borderId="11" xfId="57" applyFont="1" applyBorder="1" applyAlignment="1">
      <alignment horizontal="left"/>
      <protection/>
    </xf>
    <xf numFmtId="0" fontId="5" fillId="0" borderId="21" xfId="57" applyFont="1" applyBorder="1" applyAlignment="1">
      <alignment horizontal="left" wrapText="1"/>
      <protection/>
    </xf>
    <xf numFmtId="0" fontId="3" fillId="0" borderId="11" xfId="57" applyFont="1" applyBorder="1" applyAlignment="1">
      <alignment horizontal="center" vertical="top" wrapText="1"/>
      <protection/>
    </xf>
    <xf numFmtId="0" fontId="3" fillId="0" borderId="24" xfId="57" applyFont="1" applyBorder="1" applyAlignment="1">
      <alignment horizontal="center" vertical="top" wrapText="1"/>
      <protection/>
    </xf>
    <xf numFmtId="0" fontId="9" fillId="0" borderId="14" xfId="57" applyFont="1" applyBorder="1" applyAlignment="1">
      <alignment horizontal="left" vertical="top" wrapText="1"/>
      <protection/>
    </xf>
    <xf numFmtId="0" fontId="9" fillId="0" borderId="11" xfId="57" applyFont="1" applyBorder="1" applyAlignment="1">
      <alignment horizontal="left" vertical="top" wrapText="1"/>
      <protection/>
    </xf>
    <xf numFmtId="0" fontId="9" fillId="0" borderId="22" xfId="57" applyFont="1" applyBorder="1" applyAlignment="1">
      <alignment horizontal="left" vertical="top" wrapText="1"/>
      <protection/>
    </xf>
    <xf numFmtId="0" fontId="9" fillId="0" borderId="16" xfId="57" applyFont="1" applyBorder="1" applyAlignment="1">
      <alignment horizontal="left" vertical="top" wrapText="1"/>
      <protection/>
    </xf>
    <xf numFmtId="0" fontId="3" fillId="0" borderId="19" xfId="57" applyFont="1" applyBorder="1" applyAlignment="1">
      <alignment horizontal="left" vertical="top" wrapText="1"/>
      <protection/>
    </xf>
    <xf numFmtId="0" fontId="89" fillId="0" borderId="0" xfId="66" applyFont="1" applyAlignment="1">
      <alignment horizontal="left" wrapText="1"/>
      <protection/>
    </xf>
    <xf numFmtId="0" fontId="17" fillId="0" borderId="0" xfId="66" applyFont="1" applyAlignment="1">
      <alignment horizontal="center"/>
      <protection/>
    </xf>
    <xf numFmtId="0" fontId="16" fillId="0" borderId="0" xfId="66" applyFont="1" applyAlignment="1">
      <alignment horizontal="left" wrapText="1"/>
      <protection/>
    </xf>
    <xf numFmtId="0" fontId="30" fillId="0" borderId="0" xfId="66" applyFont="1" applyAlignment="1">
      <alignment horizontal="left" wrapText="1"/>
      <protection/>
    </xf>
    <xf numFmtId="0" fontId="16" fillId="0" borderId="0" xfId="66" applyFont="1" applyAlignment="1">
      <alignment wrapText="1"/>
      <protection/>
    </xf>
    <xf numFmtId="0" fontId="3" fillId="0" borderId="48" xfId="66" applyFont="1" applyBorder="1" applyAlignment="1">
      <alignment horizontal="center" vertical="center" wrapText="1"/>
      <protection/>
    </xf>
    <xf numFmtId="0" fontId="3" fillId="0" borderId="49" xfId="66" applyFont="1" applyBorder="1" applyAlignment="1">
      <alignment horizontal="center" vertical="center" wrapText="1"/>
      <protection/>
    </xf>
    <xf numFmtId="0" fontId="3" fillId="0" borderId="50" xfId="66" applyFont="1" applyBorder="1" applyAlignment="1">
      <alignment horizontal="center" vertical="center" wrapText="1"/>
      <protection/>
    </xf>
    <xf numFmtId="0" fontId="3" fillId="0" borderId="14" xfId="66" applyFont="1" applyBorder="1" applyAlignment="1">
      <alignment horizontal="center" wrapText="1"/>
      <protection/>
    </xf>
    <xf numFmtId="0" fontId="3" fillId="0" borderId="11" xfId="66" applyFont="1" applyBorder="1" applyAlignment="1">
      <alignment horizontal="center" wrapText="1"/>
      <protection/>
    </xf>
    <xf numFmtId="0" fontId="3" fillId="0" borderId="24" xfId="66" applyFont="1" applyBorder="1" applyAlignment="1">
      <alignment horizontal="center" wrapText="1"/>
      <protection/>
    </xf>
    <xf numFmtId="0" fontId="3" fillId="0" borderId="22" xfId="66" applyFont="1" applyBorder="1" applyAlignment="1">
      <alignment horizontal="center" wrapText="1"/>
      <protection/>
    </xf>
    <xf numFmtId="0" fontId="3" fillId="0" borderId="16" xfId="66" applyFont="1" applyBorder="1" applyAlignment="1">
      <alignment horizontal="center" wrapText="1"/>
      <protection/>
    </xf>
    <xf numFmtId="0" fontId="3" fillId="0" borderId="23" xfId="66" applyFont="1" applyBorder="1" applyAlignment="1">
      <alignment horizontal="center" wrapText="1"/>
      <protection/>
    </xf>
    <xf numFmtId="0" fontId="3" fillId="0" borderId="17" xfId="66" applyFont="1" applyBorder="1" applyAlignment="1">
      <alignment horizontal="center" wrapText="1"/>
      <protection/>
    </xf>
    <xf numFmtId="0" fontId="3" fillId="0" borderId="0" xfId="66" applyFont="1" applyBorder="1" applyAlignment="1">
      <alignment horizontal="center" wrapText="1"/>
      <protection/>
    </xf>
    <xf numFmtId="0" fontId="3" fillId="0" borderId="18" xfId="66" applyFont="1" applyBorder="1" applyAlignment="1">
      <alignment horizontal="center" wrapText="1"/>
      <protection/>
    </xf>
    <xf numFmtId="0" fontId="3" fillId="0" borderId="13" xfId="66" applyFont="1" applyBorder="1" applyAlignment="1">
      <alignment horizontal="center" wrapText="1"/>
      <protection/>
    </xf>
    <xf numFmtId="0" fontId="3" fillId="0" borderId="21" xfId="66" applyFont="1" applyBorder="1" applyAlignment="1">
      <alignment horizontal="center" wrapText="1"/>
      <protection/>
    </xf>
    <xf numFmtId="0" fontId="3" fillId="0" borderId="20" xfId="66" applyFont="1" applyBorder="1" applyAlignment="1">
      <alignment horizontal="center" wrapText="1"/>
      <protection/>
    </xf>
    <xf numFmtId="0" fontId="5" fillId="0" borderId="51" xfId="66" applyFont="1" applyBorder="1" applyAlignment="1">
      <alignment horizontal="center" vertical="center" wrapText="1"/>
      <protection/>
    </xf>
    <xf numFmtId="0" fontId="5" fillId="0" borderId="11" xfId="66" applyFont="1" applyBorder="1" applyAlignment="1">
      <alignment horizontal="center" vertical="center" wrapText="1"/>
      <protection/>
    </xf>
    <xf numFmtId="0" fontId="5" fillId="0" borderId="21" xfId="66" applyFont="1" applyBorder="1" applyAlignment="1">
      <alignment horizontal="center" vertical="center" wrapText="1"/>
      <protection/>
    </xf>
    <xf numFmtId="0" fontId="12" fillId="0" borderId="22" xfId="66" applyFont="1" applyFill="1" applyBorder="1" applyAlignment="1">
      <alignment horizontal="center" vertical="center" wrapText="1"/>
      <protection/>
    </xf>
    <xf numFmtId="0" fontId="12" fillId="0" borderId="16" xfId="66" applyFont="1" applyFill="1" applyBorder="1" applyAlignment="1">
      <alignment horizontal="center" vertical="center" wrapText="1"/>
      <protection/>
    </xf>
    <xf numFmtId="0" fontId="12" fillId="0" borderId="23" xfId="66" applyFont="1" applyFill="1" applyBorder="1" applyAlignment="1">
      <alignment horizontal="center" vertical="center" wrapText="1"/>
      <protection/>
    </xf>
    <xf numFmtId="0" fontId="12" fillId="0" borderId="17" xfId="66" applyFont="1" applyFill="1" applyBorder="1" applyAlignment="1">
      <alignment horizontal="center" vertical="center" wrapText="1"/>
      <protection/>
    </xf>
    <xf numFmtId="0" fontId="12" fillId="0" borderId="0" xfId="66" applyFont="1" applyFill="1" applyBorder="1" applyAlignment="1">
      <alignment horizontal="center" vertical="center" wrapText="1"/>
      <protection/>
    </xf>
    <xf numFmtId="0" fontId="12" fillId="0" borderId="18" xfId="66" applyFont="1" applyFill="1" applyBorder="1" applyAlignment="1">
      <alignment horizontal="center" vertical="center" wrapText="1"/>
      <protection/>
    </xf>
    <xf numFmtId="0" fontId="12" fillId="0" borderId="13" xfId="66" applyFont="1" applyFill="1" applyBorder="1" applyAlignment="1">
      <alignment horizontal="center" vertical="center" wrapText="1"/>
      <protection/>
    </xf>
    <xf numFmtId="0" fontId="12" fillId="0" borderId="21" xfId="66" applyFont="1" applyFill="1" applyBorder="1" applyAlignment="1">
      <alignment horizontal="center" vertical="center" wrapText="1"/>
      <protection/>
    </xf>
    <xf numFmtId="0" fontId="12" fillId="0" borderId="20" xfId="66" applyFont="1" applyFill="1" applyBorder="1" applyAlignment="1">
      <alignment horizontal="center" vertical="center" wrapText="1"/>
      <protection/>
    </xf>
    <xf numFmtId="0" fontId="5" fillId="0" borderId="14" xfId="66" applyFont="1" applyBorder="1" applyAlignment="1">
      <alignment horizontal="center" vertical="center"/>
      <protection/>
    </xf>
    <xf numFmtId="0" fontId="5" fillId="0" borderId="11" xfId="66" applyFont="1" applyBorder="1" applyAlignment="1">
      <alignment horizontal="center" vertical="center"/>
      <protection/>
    </xf>
    <xf numFmtId="0" fontId="5" fillId="0" borderId="24" xfId="66" applyFont="1" applyBorder="1" applyAlignment="1">
      <alignment horizontal="center" vertical="center"/>
      <protection/>
    </xf>
    <xf numFmtId="4" fontId="5" fillId="0" borderId="14" xfId="66" applyNumberFormat="1" applyFont="1" applyBorder="1" applyAlignment="1">
      <alignment horizontal="right"/>
      <protection/>
    </xf>
    <xf numFmtId="4" fontId="5" fillId="0" borderId="11" xfId="66" applyNumberFormat="1" applyFont="1" applyBorder="1" applyAlignment="1">
      <alignment horizontal="right"/>
      <protection/>
    </xf>
    <xf numFmtId="4" fontId="5" fillId="0" borderId="24" xfId="66" applyNumberFormat="1" applyFont="1" applyBorder="1" applyAlignment="1">
      <alignment horizontal="right"/>
      <protection/>
    </xf>
    <xf numFmtId="0" fontId="5" fillId="0" borderId="51" xfId="66" applyFont="1" applyFill="1" applyBorder="1" applyAlignment="1">
      <alignment horizontal="center" wrapText="1"/>
      <protection/>
    </xf>
    <xf numFmtId="0" fontId="5" fillId="0" borderId="11" xfId="66" applyFont="1" applyFill="1" applyBorder="1" applyAlignment="1">
      <alignment horizontal="center" wrapText="1"/>
      <protection/>
    </xf>
    <xf numFmtId="0" fontId="5" fillId="0" borderId="24" xfId="66" applyFont="1" applyFill="1" applyBorder="1" applyAlignment="1">
      <alignment horizontal="center" wrapText="1"/>
      <protection/>
    </xf>
    <xf numFmtId="0" fontId="5" fillId="0" borderId="51" xfId="66" applyFont="1" applyBorder="1" applyAlignment="1">
      <alignment horizontal="center" wrapText="1"/>
      <protection/>
    </xf>
    <xf numFmtId="0" fontId="5" fillId="0" borderId="11" xfId="66" applyFont="1" applyBorder="1" applyAlignment="1">
      <alignment horizontal="center" wrapText="1"/>
      <protection/>
    </xf>
    <xf numFmtId="0" fontId="12" fillId="0" borderId="22" xfId="66" applyFont="1" applyBorder="1" applyAlignment="1">
      <alignment horizontal="center" vertical="center" wrapText="1"/>
      <protection/>
    </xf>
    <xf numFmtId="0" fontId="12" fillId="0" borderId="16" xfId="66" applyFont="1" applyBorder="1" applyAlignment="1">
      <alignment horizontal="center" vertical="center" wrapText="1"/>
      <protection/>
    </xf>
    <xf numFmtId="0" fontId="12" fillId="0" borderId="23" xfId="66" applyFont="1" applyBorder="1" applyAlignment="1">
      <alignment horizontal="center" vertical="center" wrapText="1"/>
      <protection/>
    </xf>
    <xf numFmtId="0" fontId="12" fillId="0" borderId="17" xfId="66" applyFont="1" applyBorder="1" applyAlignment="1">
      <alignment horizontal="center" vertical="center" wrapText="1"/>
      <protection/>
    </xf>
    <xf numFmtId="0" fontId="12" fillId="0" borderId="0" xfId="66" applyFont="1" applyBorder="1" applyAlignment="1">
      <alignment horizontal="center" vertical="center" wrapText="1"/>
      <protection/>
    </xf>
    <xf numFmtId="0" fontId="12" fillId="0" borderId="18" xfId="66" applyFont="1" applyBorder="1" applyAlignment="1">
      <alignment horizontal="center" vertical="center" wrapText="1"/>
      <protection/>
    </xf>
    <xf numFmtId="0" fontId="12" fillId="0" borderId="13" xfId="66" applyFont="1" applyBorder="1" applyAlignment="1">
      <alignment horizontal="center" vertical="center" wrapText="1"/>
      <protection/>
    </xf>
    <xf numFmtId="0" fontId="12" fillId="0" borderId="21" xfId="66" applyFont="1" applyBorder="1" applyAlignment="1">
      <alignment horizontal="center" vertical="center" wrapText="1"/>
      <protection/>
    </xf>
    <xf numFmtId="0" fontId="12" fillId="0" borderId="20" xfId="66" applyFont="1" applyBorder="1" applyAlignment="1">
      <alignment horizontal="center" vertical="center" wrapText="1"/>
      <protection/>
    </xf>
    <xf numFmtId="0" fontId="5" fillId="0" borderId="24" xfId="66" applyFont="1" applyBorder="1" applyAlignment="1">
      <alignment horizontal="center" wrapText="1"/>
      <protection/>
    </xf>
    <xf numFmtId="0" fontId="3" fillId="0" borderId="15" xfId="63" applyFont="1" applyBorder="1" applyAlignment="1">
      <alignment vertical="center" wrapText="1"/>
      <protection/>
    </xf>
    <xf numFmtId="0" fontId="3" fillId="0" borderId="19" xfId="63" applyFont="1" applyBorder="1" applyAlignment="1">
      <alignment vertical="center" wrapText="1"/>
      <protection/>
    </xf>
    <xf numFmtId="0" fontId="3" fillId="0" borderId="15" xfId="63" applyFont="1" applyBorder="1" applyAlignment="1">
      <alignment horizontal="center" vertical="center" wrapText="1"/>
      <protection/>
    </xf>
    <xf numFmtId="0" fontId="3" fillId="0" borderId="19" xfId="63" applyFont="1" applyBorder="1" applyAlignment="1">
      <alignment horizontal="center" vertical="center" wrapText="1"/>
      <protection/>
    </xf>
    <xf numFmtId="0" fontId="3" fillId="0" borderId="0" xfId="57" applyFont="1" applyBorder="1" applyAlignment="1">
      <alignment horizontal="left" vertical="center" wrapText="1"/>
      <protection/>
    </xf>
    <xf numFmtId="0" fontId="3" fillId="0" borderId="18" xfId="57" applyFont="1" applyBorder="1" applyAlignment="1">
      <alignment horizontal="left" vertical="center" wrapText="1"/>
      <protection/>
    </xf>
    <xf numFmtId="0" fontId="5" fillId="0" borderId="14" xfId="57" applyFont="1" applyBorder="1" applyAlignment="1">
      <alignment horizontal="left" wrapText="1"/>
      <protection/>
    </xf>
    <xf numFmtId="0" fontId="5" fillId="0" borderId="11" xfId="57" applyFont="1" applyBorder="1" applyAlignment="1">
      <alignment horizontal="left" wrapText="1"/>
      <protection/>
    </xf>
    <xf numFmtId="0" fontId="5" fillId="0" borderId="0" xfId="63" applyFont="1" applyAlignment="1">
      <alignment horizontal="center" wrapText="1"/>
      <protection/>
    </xf>
    <xf numFmtId="0" fontId="3" fillId="0" borderId="0" xfId="63" applyFont="1" applyAlignment="1">
      <alignment horizontal="center" wrapText="1"/>
      <protection/>
    </xf>
    <xf numFmtId="0" fontId="3" fillId="0" borderId="21" xfId="63" applyFont="1" applyBorder="1" applyAlignment="1">
      <alignment horizontal="left" wrapText="1"/>
      <protection/>
    </xf>
    <xf numFmtId="0" fontId="3" fillId="0" borderId="22" xfId="63" applyFont="1" applyBorder="1" applyAlignment="1">
      <alignment horizontal="center" vertical="center" wrapText="1"/>
      <protection/>
    </xf>
    <xf numFmtId="0" fontId="3" fillId="0" borderId="16" xfId="63" applyFont="1" applyBorder="1" applyAlignment="1">
      <alignment horizontal="center" vertical="center" wrapText="1"/>
      <protection/>
    </xf>
    <xf numFmtId="0" fontId="3" fillId="0" borderId="13" xfId="63" applyFont="1" applyBorder="1" applyAlignment="1">
      <alignment horizontal="center" vertical="center" wrapText="1"/>
      <protection/>
    </xf>
    <xf numFmtId="0" fontId="3" fillId="0" borderId="21" xfId="63" applyFont="1" applyBorder="1" applyAlignment="1">
      <alignment horizontal="center" vertical="center" wrapText="1"/>
      <protection/>
    </xf>
    <xf numFmtId="4" fontId="12" fillId="0" borderId="13" xfId="57" applyNumberFormat="1" applyFont="1" applyBorder="1" applyAlignment="1">
      <alignment horizontal="right" vertical="center" wrapText="1"/>
      <protection/>
    </xf>
    <xf numFmtId="4" fontId="12" fillId="0" borderId="21" xfId="57" applyNumberFormat="1" applyFont="1" applyBorder="1" applyAlignment="1">
      <alignment horizontal="right" vertical="center" wrapText="1"/>
      <protection/>
    </xf>
    <xf numFmtId="0" fontId="3" fillId="0" borderId="14" xfId="57" applyFont="1" applyBorder="1" applyAlignment="1">
      <alignment horizontal="left" wrapText="1"/>
      <protection/>
    </xf>
    <xf numFmtId="0" fontId="3" fillId="0" borderId="11" xfId="57" applyFont="1" applyBorder="1" applyAlignment="1">
      <alignment horizontal="left" wrapText="1"/>
      <protection/>
    </xf>
    <xf numFmtId="0" fontId="3" fillId="0" borderId="14" xfId="63" applyFont="1" applyBorder="1" applyAlignment="1">
      <alignment horizontal="center" wrapText="1"/>
      <protection/>
    </xf>
    <xf numFmtId="0" fontId="3" fillId="0" borderId="11" xfId="63" applyFont="1" applyBorder="1" applyAlignment="1">
      <alignment horizontal="center" wrapText="1"/>
      <protection/>
    </xf>
    <xf numFmtId="0" fontId="17" fillId="0" borderId="22" xfId="54" applyFont="1" applyBorder="1" applyAlignment="1">
      <alignment horizontal="center" vertical="center" wrapText="1"/>
      <protection/>
    </xf>
    <xf numFmtId="0" fontId="35" fillId="0" borderId="16" xfId="54" applyFont="1" applyBorder="1" applyAlignment="1">
      <alignment horizontal="center" vertical="center" wrapText="1"/>
      <protection/>
    </xf>
    <xf numFmtId="0" fontId="35" fillId="0" borderId="23" xfId="54" applyFont="1" applyBorder="1" applyAlignment="1">
      <alignment horizontal="center" vertical="center" wrapText="1"/>
      <protection/>
    </xf>
    <xf numFmtId="0" fontId="36" fillId="0" borderId="52" xfId="54" applyFont="1" applyBorder="1" applyAlignment="1">
      <alignment horizontal="center" vertical="center" wrapText="1"/>
      <protection/>
    </xf>
    <xf numFmtId="0" fontId="37" fillId="0" borderId="53" xfId="54" applyFont="1" applyBorder="1" applyAlignment="1">
      <alignment horizontal="center" vertical="center" wrapText="1"/>
      <protection/>
    </xf>
    <xf numFmtId="0" fontId="37" fillId="0" borderId="54" xfId="54" applyFont="1" applyBorder="1" applyAlignment="1">
      <alignment horizontal="center" vertical="center" wrapText="1"/>
      <protection/>
    </xf>
    <xf numFmtId="0" fontId="3" fillId="0" borderId="0" xfId="57" applyFont="1" applyAlignment="1">
      <alignment horizontal="left" wrapText="1"/>
      <protection/>
    </xf>
    <xf numFmtId="49" fontId="3" fillId="0" borderId="0" xfId="57" applyNumberFormat="1" applyFont="1" applyAlignment="1">
      <alignment horizontal="left" wrapText="1"/>
      <protection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Defaul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0 4" xfId="55"/>
    <cellStyle name="Обычный 14 2" xfId="56"/>
    <cellStyle name="Обычный 2" xfId="57"/>
    <cellStyle name="Обычный 2 2" xfId="58"/>
    <cellStyle name="Обычный 2 3" xfId="59"/>
    <cellStyle name="Обычный 2 7" xfId="60"/>
    <cellStyle name="Обычный 3" xfId="61"/>
    <cellStyle name="Обычный 4" xfId="62"/>
    <cellStyle name="Обычный 4 2" xfId="63"/>
    <cellStyle name="Обычный 5" xfId="64"/>
    <cellStyle name="Обычный 6" xfId="65"/>
    <cellStyle name="Обычный 65" xfId="66"/>
    <cellStyle name="Обычный_Обоснование цены договора (ЗСО ВЗ№2)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Финансовый [0] 2" xfId="77"/>
    <cellStyle name="Финансовый 2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67"/>
  <sheetViews>
    <sheetView tabSelected="1" view="pageBreakPreview" zoomScaleSheetLayoutView="100" zoomScalePageLayoutView="0" workbookViewId="0" topLeftCell="A13">
      <selection activeCell="F25" sqref="F25"/>
    </sheetView>
  </sheetViews>
  <sheetFormatPr defaultColWidth="14.125" defaultRowHeight="12.75"/>
  <cols>
    <col min="1" max="1" width="5.25390625" style="3" customWidth="1"/>
    <col min="2" max="2" width="32.875" style="3" customWidth="1"/>
    <col min="3" max="3" width="13.125" style="3" customWidth="1"/>
    <col min="4" max="4" width="14.125" style="3" customWidth="1"/>
    <col min="5" max="5" width="12.875" style="3" customWidth="1"/>
    <col min="6" max="6" width="27.25390625" style="3" customWidth="1"/>
    <col min="7" max="8" width="17.75390625" style="3" customWidth="1"/>
    <col min="9" max="9" width="16.875" style="3" customWidth="1"/>
    <col min="10" max="10" width="13.25390625" style="3" customWidth="1"/>
    <col min="11" max="11" width="14.25390625" style="3" customWidth="1"/>
    <col min="12" max="12" width="14.375" style="3" customWidth="1"/>
    <col min="13" max="13" width="9.125" style="3" customWidth="1"/>
    <col min="14" max="14" width="3.375" style="3" customWidth="1"/>
    <col min="15" max="16" width="9.75390625" style="3" customWidth="1"/>
    <col min="17" max="17" width="6.75390625" style="3" customWidth="1"/>
    <col min="18" max="252" width="9.125" style="3" customWidth="1"/>
    <col min="253" max="253" width="5.25390625" style="3" customWidth="1"/>
    <col min="254" max="254" width="33.875" style="3" customWidth="1"/>
    <col min="255" max="255" width="10.25390625" style="3" customWidth="1"/>
    <col min="256" max="16384" width="14.125" style="3" customWidth="1"/>
  </cols>
  <sheetData>
    <row r="1" spans="5:6" ht="12.75">
      <c r="E1" s="680" t="s">
        <v>96</v>
      </c>
      <c r="F1" s="680"/>
    </row>
    <row r="2" spans="5:6" ht="12.75">
      <c r="E2" s="680" t="s">
        <v>73</v>
      </c>
      <c r="F2" s="680"/>
    </row>
    <row r="3" spans="5:6" ht="12.75">
      <c r="E3" s="680" t="s">
        <v>119</v>
      </c>
      <c r="F3" s="680"/>
    </row>
    <row r="4" spans="5:6" ht="12.75">
      <c r="E4" s="84"/>
      <c r="F4" s="84"/>
    </row>
    <row r="5" spans="2:6" ht="12.75">
      <c r="B5" s="3" t="s">
        <v>74</v>
      </c>
      <c r="E5" s="30" t="s">
        <v>75</v>
      </c>
      <c r="F5" s="84"/>
    </row>
    <row r="6" spans="5:6" ht="12.75">
      <c r="E6" s="679"/>
      <c r="F6" s="679"/>
    </row>
    <row r="7" spans="5:6" ht="12.75">
      <c r="E7" s="679"/>
      <c r="F7" s="679"/>
    </row>
    <row r="8" spans="5:6" ht="34.5" customHeight="1">
      <c r="E8" s="679" t="s">
        <v>273</v>
      </c>
      <c r="F8" s="679"/>
    </row>
    <row r="9" spans="2:6" ht="17.25" customHeight="1">
      <c r="B9" s="3" t="s">
        <v>121</v>
      </c>
      <c r="E9" s="679" t="s">
        <v>120</v>
      </c>
      <c r="F9" s="679"/>
    </row>
    <row r="10" ht="36.75" customHeight="1"/>
    <row r="11" spans="1:6" ht="12.75">
      <c r="A11" s="683" t="s">
        <v>5</v>
      </c>
      <c r="B11" s="683"/>
      <c r="C11" s="683"/>
      <c r="D11" s="683"/>
      <c r="E11" s="683"/>
      <c r="F11" s="683"/>
    </row>
    <row r="12" spans="1:10" ht="20.25" customHeight="1">
      <c r="A12" s="684" t="s">
        <v>76</v>
      </c>
      <c r="B12" s="684"/>
      <c r="C12" s="684"/>
      <c r="D12" s="684"/>
      <c r="E12" s="684"/>
      <c r="F12" s="684"/>
      <c r="G12" s="18"/>
      <c r="H12" s="16"/>
      <c r="I12" s="18"/>
      <c r="J12" s="16"/>
    </row>
    <row r="13" spans="1:18" ht="25.5" customHeight="1">
      <c r="A13" s="682" t="s">
        <v>323</v>
      </c>
      <c r="B13" s="682"/>
      <c r="C13" s="682"/>
      <c r="D13" s="682"/>
      <c r="E13" s="682"/>
      <c r="F13" s="682"/>
      <c r="I13" s="18"/>
      <c r="J13" s="17"/>
      <c r="K13" s="12"/>
      <c r="L13" s="16"/>
      <c r="M13" s="4"/>
      <c r="N13" s="4"/>
      <c r="O13" s="5"/>
      <c r="P13" s="6"/>
      <c r="Q13" s="7"/>
      <c r="R13" s="6"/>
    </row>
    <row r="14" spans="1:18" ht="12.75" customHeight="1">
      <c r="A14" s="685" t="s">
        <v>6</v>
      </c>
      <c r="B14" s="686" t="s">
        <v>7</v>
      </c>
      <c r="C14" s="685" t="s">
        <v>8</v>
      </c>
      <c r="D14" s="681" t="s">
        <v>19</v>
      </c>
      <c r="E14" s="681" t="s">
        <v>315</v>
      </c>
      <c r="F14" s="681" t="s">
        <v>316</v>
      </c>
      <c r="I14" s="19"/>
      <c r="J14" s="20"/>
      <c r="K14" s="12"/>
      <c r="L14" s="16"/>
      <c r="M14" s="9"/>
      <c r="N14" s="4"/>
      <c r="O14" s="5"/>
      <c r="P14" s="6"/>
      <c r="Q14" s="7"/>
      <c r="R14" s="6"/>
    </row>
    <row r="15" spans="1:18" ht="38.25" customHeight="1">
      <c r="A15" s="685"/>
      <c r="B15" s="686"/>
      <c r="C15" s="685"/>
      <c r="D15" s="681"/>
      <c r="E15" s="681"/>
      <c r="F15" s="681"/>
      <c r="I15" s="19"/>
      <c r="J15" s="20"/>
      <c r="K15" s="12"/>
      <c r="L15" s="16"/>
      <c r="M15" s="9"/>
      <c r="N15" s="4"/>
      <c r="O15" s="5"/>
      <c r="P15" s="10"/>
      <c r="Q15" s="7"/>
      <c r="R15" s="6"/>
    </row>
    <row r="16" spans="1:18" ht="30" customHeight="1">
      <c r="A16" s="590">
        <v>1</v>
      </c>
      <c r="B16" s="591" t="s">
        <v>20</v>
      </c>
      <c r="C16" s="592" t="s">
        <v>9</v>
      </c>
      <c r="D16" s="593">
        <f>'См№1 ПР'!V36</f>
        <v>3931440</v>
      </c>
      <c r="E16" s="593">
        <f>'См№1 ПР'!V37</f>
        <v>707659.2</v>
      </c>
      <c r="F16" s="594">
        <f>'См№1 ПР'!V38</f>
        <v>4639099.2</v>
      </c>
      <c r="H16" s="33"/>
      <c r="I16" s="35"/>
      <c r="J16" s="34"/>
      <c r="K16" s="12"/>
      <c r="L16" s="16"/>
      <c r="M16" s="9"/>
      <c r="N16" s="4"/>
      <c r="O16" s="5"/>
      <c r="P16" s="10"/>
      <c r="Q16" s="7"/>
      <c r="R16" s="6"/>
    </row>
    <row r="17" spans="1:18" ht="33" customHeight="1">
      <c r="A17" s="590">
        <v>2</v>
      </c>
      <c r="B17" s="591" t="s">
        <v>317</v>
      </c>
      <c r="C17" s="592" t="s">
        <v>10</v>
      </c>
      <c r="D17" s="593">
        <f>'См№2 Геодез'!O34</f>
        <v>58017.38</v>
      </c>
      <c r="E17" s="593">
        <f>'См№2 Геодез'!O35</f>
        <v>10443.13</v>
      </c>
      <c r="F17" s="594">
        <f>'См№2 Геодез'!O37</f>
        <v>68460.51</v>
      </c>
      <c r="G17" s="21"/>
      <c r="H17" s="33"/>
      <c r="I17" s="33"/>
      <c r="J17" s="33"/>
      <c r="K17" s="12"/>
      <c r="L17" s="16"/>
      <c r="M17" s="11"/>
      <c r="N17" s="4"/>
      <c r="O17" s="5"/>
      <c r="P17" s="6"/>
      <c r="Q17" s="7"/>
      <c r="R17" s="6"/>
    </row>
    <row r="18" spans="1:18" ht="18.75" customHeight="1">
      <c r="A18" s="590">
        <v>3</v>
      </c>
      <c r="B18" s="591" t="s">
        <v>165</v>
      </c>
      <c r="C18" s="592" t="s">
        <v>25</v>
      </c>
      <c r="D18" s="593">
        <f>'См№3 Геолог'!N49</f>
        <v>405425.13</v>
      </c>
      <c r="E18" s="593">
        <f>'См№3 Геолог'!N50</f>
        <v>72976.52</v>
      </c>
      <c r="F18" s="594">
        <f>'См№3 Геолог'!N51</f>
        <v>478401.65</v>
      </c>
      <c r="G18" s="21"/>
      <c r="H18" s="33"/>
      <c r="I18" s="33"/>
      <c r="J18" s="33"/>
      <c r="K18" s="12"/>
      <c r="L18" s="16"/>
      <c r="M18" s="11"/>
      <c r="N18" s="4"/>
      <c r="O18" s="5"/>
      <c r="P18" s="6"/>
      <c r="Q18" s="7"/>
      <c r="R18" s="6"/>
    </row>
    <row r="19" spans="1:18" ht="28.5" customHeight="1">
      <c r="A19" s="590">
        <v>4</v>
      </c>
      <c r="B19" s="591" t="s">
        <v>59</v>
      </c>
      <c r="C19" s="592" t="s">
        <v>28</v>
      </c>
      <c r="D19" s="593">
        <f>'См№4 Экология'!M61</f>
        <v>120957.86</v>
      </c>
      <c r="E19" s="593">
        <f>'См№4 Экология'!M62</f>
        <v>21772.41</v>
      </c>
      <c r="F19" s="594">
        <f>'См№4 Экология'!M63</f>
        <v>142730.27</v>
      </c>
      <c r="G19" s="21"/>
      <c r="H19" s="33"/>
      <c r="I19" s="33"/>
      <c r="J19" s="33"/>
      <c r="K19" s="12"/>
      <c r="L19" s="16"/>
      <c r="M19" s="11"/>
      <c r="N19" s="4"/>
      <c r="O19" s="5"/>
      <c r="P19" s="6"/>
      <c r="Q19" s="7"/>
      <c r="R19" s="6"/>
    </row>
    <row r="20" spans="1:18" ht="18.75" customHeight="1">
      <c r="A20" s="590">
        <v>5</v>
      </c>
      <c r="B20" s="595" t="s">
        <v>318</v>
      </c>
      <c r="C20" s="592" t="s">
        <v>319</v>
      </c>
      <c r="D20" s="593">
        <f>'См№5 Кадастр'!H70</f>
        <v>41562.81</v>
      </c>
      <c r="E20" s="593">
        <f>'См№5 Кадастр'!H71</f>
        <v>7481.31</v>
      </c>
      <c r="F20" s="594">
        <f>'См№5 Кадастр'!H72</f>
        <v>49044.12</v>
      </c>
      <c r="G20" s="21"/>
      <c r="H20" s="32"/>
      <c r="I20" s="8"/>
      <c r="J20" s="4"/>
      <c r="K20" s="13"/>
      <c r="L20" s="9"/>
      <c r="M20" s="11"/>
      <c r="N20" s="4"/>
      <c r="O20" s="5"/>
      <c r="P20" s="10"/>
      <c r="Q20" s="7"/>
      <c r="R20" s="6"/>
    </row>
    <row r="21" spans="1:18" ht="18.75" customHeight="1">
      <c r="A21" s="590">
        <v>6</v>
      </c>
      <c r="B21" s="595" t="s">
        <v>374</v>
      </c>
      <c r="C21" s="592" t="s">
        <v>375</v>
      </c>
      <c r="D21" s="593">
        <f>'См№6 Обслед'!N46</f>
        <v>41149.29</v>
      </c>
      <c r="E21" s="593">
        <f>'См№6 Обслед'!N47</f>
        <v>7406.87</v>
      </c>
      <c r="F21" s="594">
        <f>'См№6 Обслед'!N48</f>
        <v>48556.16</v>
      </c>
      <c r="G21" s="21"/>
      <c r="H21" s="32"/>
      <c r="I21" s="8"/>
      <c r="J21" s="4"/>
      <c r="K21" s="13"/>
      <c r="L21" s="9"/>
      <c r="M21" s="11"/>
      <c r="N21" s="4"/>
      <c r="O21" s="5"/>
      <c r="P21" s="10"/>
      <c r="Q21" s="7"/>
      <c r="R21" s="6"/>
    </row>
    <row r="22" spans="1:18" ht="12.75">
      <c r="A22" s="590">
        <v>7</v>
      </c>
      <c r="B22" s="591" t="s">
        <v>320</v>
      </c>
      <c r="C22" s="592" t="s">
        <v>321</v>
      </c>
      <c r="D22" s="593">
        <f>Экспертиза!B28</f>
        <v>462546.07</v>
      </c>
      <c r="E22" s="593">
        <f>Экспертиза!B29</f>
        <v>83258.28</v>
      </c>
      <c r="F22" s="594">
        <f>Экспертиза!B30</f>
        <v>545804.35</v>
      </c>
      <c r="H22" s="4"/>
      <c r="I22" s="4"/>
      <c r="J22" s="9"/>
      <c r="K22" s="9"/>
      <c r="L22" s="9"/>
      <c r="M22" s="9"/>
      <c r="N22" s="4"/>
      <c r="O22" s="5"/>
      <c r="P22" s="10"/>
      <c r="Q22" s="7"/>
      <c r="R22" s="7"/>
    </row>
    <row r="23" spans="1:16" ht="12.75">
      <c r="A23" s="590">
        <v>8</v>
      </c>
      <c r="B23" s="591" t="s">
        <v>11</v>
      </c>
      <c r="C23" s="592"/>
      <c r="D23" s="593">
        <f>SUM(D16:D22)</f>
        <v>5061098.54</v>
      </c>
      <c r="E23" s="593">
        <f>SUM(E16:E22)</f>
        <v>910997.72</v>
      </c>
      <c r="F23" s="593">
        <f>SUM(F16:F22)</f>
        <v>5972096.26</v>
      </c>
      <c r="H23" s="4"/>
      <c r="I23" s="4"/>
      <c r="J23" s="11"/>
      <c r="K23" s="9"/>
      <c r="L23" s="9"/>
      <c r="M23" s="14"/>
      <c r="N23" s="4"/>
      <c r="O23" s="5"/>
      <c r="P23" s="10"/>
    </row>
    <row r="24" spans="1:16" ht="12.75" customHeight="1">
      <c r="A24" s="563"/>
      <c r="B24" s="563"/>
      <c r="C24" s="563"/>
      <c r="D24" s="596"/>
      <c r="E24" s="563"/>
      <c r="F24" s="596"/>
      <c r="H24" s="4"/>
      <c r="I24" s="4"/>
      <c r="J24" s="9"/>
      <c r="K24" s="9"/>
      <c r="L24" s="9"/>
      <c r="M24" s="9"/>
      <c r="N24" s="4"/>
      <c r="O24" s="5"/>
      <c r="P24" s="10"/>
    </row>
    <row r="25" spans="1:16" ht="15.75">
      <c r="A25" s="563"/>
      <c r="B25" s="36" t="s">
        <v>312</v>
      </c>
      <c r="C25" s="36"/>
      <c r="D25" s="36"/>
      <c r="E25" s="15"/>
      <c r="F25" s="597"/>
      <c r="H25" s="4"/>
      <c r="I25" s="4"/>
      <c r="J25" s="9"/>
      <c r="K25" s="9"/>
      <c r="L25" s="9"/>
      <c r="M25" s="9"/>
      <c r="N25" s="4"/>
      <c r="O25" s="5"/>
      <c r="P25" s="10"/>
    </row>
    <row r="26" spans="1:16" ht="12.75">
      <c r="A26" s="563"/>
      <c r="B26" s="36" t="s">
        <v>313</v>
      </c>
      <c r="C26" s="36"/>
      <c r="D26" s="563"/>
      <c r="E26" s="15"/>
      <c r="F26" s="563"/>
      <c r="H26" s="4"/>
      <c r="I26" s="4"/>
      <c r="J26" s="9"/>
      <c r="K26" s="9"/>
      <c r="L26" s="9"/>
      <c r="M26" s="9"/>
      <c r="N26" s="4"/>
      <c r="O26" s="5"/>
      <c r="P26" s="10"/>
    </row>
    <row r="27" spans="1:16" ht="12.75">
      <c r="A27" s="563"/>
      <c r="B27" s="563"/>
      <c r="C27" s="563"/>
      <c r="D27" s="563"/>
      <c r="E27" s="596"/>
      <c r="F27" s="563"/>
      <c r="H27" s="4"/>
      <c r="I27" s="4"/>
      <c r="J27" s="9"/>
      <c r="K27" s="9"/>
      <c r="L27" s="9"/>
      <c r="M27" s="9"/>
      <c r="N27" s="4"/>
      <c r="O27" s="5"/>
      <c r="P27" s="10"/>
    </row>
    <row r="28" spans="1:16" ht="12.75">
      <c r="A28" s="563"/>
      <c r="B28" s="563"/>
      <c r="C28" s="563"/>
      <c r="D28" s="563"/>
      <c r="E28" s="596"/>
      <c r="F28" s="563"/>
      <c r="H28" s="4"/>
      <c r="I28" s="4"/>
      <c r="J28" s="9"/>
      <c r="K28" s="9"/>
      <c r="L28" s="9"/>
      <c r="M28" s="9"/>
      <c r="N28" s="4"/>
      <c r="O28" s="5"/>
      <c r="P28" s="10"/>
    </row>
    <row r="29" spans="1:16" ht="12.75">
      <c r="A29" s="563"/>
      <c r="B29" s="15" t="s">
        <v>314</v>
      </c>
      <c r="C29" s="15"/>
      <c r="D29" s="563"/>
      <c r="E29" s="15"/>
      <c r="F29" s="563"/>
      <c r="H29" s="4"/>
      <c r="I29" s="4"/>
      <c r="J29" s="9"/>
      <c r="K29" s="9"/>
      <c r="L29" s="9"/>
      <c r="M29" s="9"/>
      <c r="N29" s="4"/>
      <c r="O29" s="5"/>
      <c r="P29" s="10"/>
    </row>
    <row r="30" spans="1:15" ht="12.75">
      <c r="A30" s="563"/>
      <c r="B30" s="15"/>
      <c r="C30" s="15"/>
      <c r="D30" s="563"/>
      <c r="E30" s="15"/>
      <c r="F30" s="563"/>
      <c r="H30" s="4"/>
      <c r="I30" s="4"/>
      <c r="J30" s="9"/>
      <c r="K30" s="9"/>
      <c r="L30" s="9"/>
      <c r="M30" s="9"/>
      <c r="N30" s="4"/>
      <c r="O30" s="5"/>
    </row>
    <row r="31" spans="1:15" ht="12.75">
      <c r="A31" s="563"/>
      <c r="B31" s="15"/>
      <c r="C31" s="15"/>
      <c r="D31" s="563"/>
      <c r="E31" s="15"/>
      <c r="F31" s="563"/>
      <c r="H31" s="4"/>
      <c r="I31" s="4"/>
      <c r="J31" s="9"/>
      <c r="K31" s="9"/>
      <c r="L31" s="9"/>
      <c r="M31" s="9"/>
      <c r="N31" s="4"/>
      <c r="O31" s="5"/>
    </row>
    <row r="32" spans="1:15" ht="12.75">
      <c r="A32" s="563"/>
      <c r="B32" s="15" t="s">
        <v>97</v>
      </c>
      <c r="C32" s="15"/>
      <c r="D32" s="563"/>
      <c r="E32" s="15"/>
      <c r="F32" s="563"/>
      <c r="H32" s="4"/>
      <c r="I32" s="4"/>
      <c r="J32" s="9"/>
      <c r="K32" s="9"/>
      <c r="L32" s="9"/>
      <c r="M32" s="9"/>
      <c r="N32" s="4"/>
      <c r="O32" s="5"/>
    </row>
    <row r="33" spans="1:15" ht="12.75">
      <c r="A33" s="563"/>
      <c r="B33" s="563"/>
      <c r="C33" s="563"/>
      <c r="D33" s="563"/>
      <c r="E33" s="563"/>
      <c r="F33" s="563"/>
      <c r="H33" s="4"/>
      <c r="I33" s="4"/>
      <c r="J33" s="9"/>
      <c r="K33" s="9"/>
      <c r="L33" s="9"/>
      <c r="M33" s="9"/>
      <c r="N33" s="4"/>
      <c r="O33" s="5"/>
    </row>
    <row r="34" spans="1:15" ht="12.75">
      <c r="A34" s="563"/>
      <c r="B34" s="563"/>
      <c r="C34" s="563"/>
      <c r="D34" s="563"/>
      <c r="E34" s="563"/>
      <c r="F34" s="563"/>
      <c r="H34" s="4"/>
      <c r="I34" s="4"/>
      <c r="J34" s="9"/>
      <c r="K34" s="9"/>
      <c r="L34" s="9"/>
      <c r="M34" s="9"/>
      <c r="N34" s="4"/>
      <c r="O34" s="4"/>
    </row>
    <row r="35" spans="1:15" ht="12.75">
      <c r="A35" s="563"/>
      <c r="B35" s="563"/>
      <c r="C35" s="563"/>
      <c r="D35" s="563"/>
      <c r="E35" s="563"/>
      <c r="F35" s="563"/>
      <c r="H35" s="4"/>
      <c r="I35" s="4"/>
      <c r="J35" s="9"/>
      <c r="K35" s="9"/>
      <c r="L35" s="9"/>
      <c r="M35" s="9"/>
      <c r="N35" s="4"/>
      <c r="O35" s="4"/>
    </row>
    <row r="36" spans="10:13" ht="12.75">
      <c r="J36" s="10"/>
      <c r="K36" s="10"/>
      <c r="L36" s="10"/>
      <c r="M36" s="10"/>
    </row>
    <row r="37" spans="10:13" ht="12.75">
      <c r="J37" s="10"/>
      <c r="K37" s="10"/>
      <c r="L37" s="10"/>
      <c r="M37" s="10"/>
    </row>
    <row r="38" spans="10:13" ht="12.75">
      <c r="J38" s="10"/>
      <c r="K38" s="10"/>
      <c r="L38" s="10"/>
      <c r="M38" s="10"/>
    </row>
    <row r="39" spans="10:13" ht="12.75">
      <c r="J39" s="10"/>
      <c r="K39" s="10"/>
      <c r="L39" s="10"/>
      <c r="M39" s="10"/>
    </row>
    <row r="40" spans="10:13" ht="12.75">
      <c r="J40" s="10"/>
      <c r="K40" s="10"/>
      <c r="L40" s="10"/>
      <c r="M40" s="10"/>
    </row>
    <row r="41" spans="10:13" ht="12.75">
      <c r="J41" s="10"/>
      <c r="K41" s="10"/>
      <c r="L41" s="10"/>
      <c r="M41" s="10"/>
    </row>
    <row r="42" spans="10:13" ht="12.75">
      <c r="J42" s="10"/>
      <c r="K42" s="10"/>
      <c r="L42" s="10"/>
      <c r="M42" s="10"/>
    </row>
    <row r="43" spans="10:13" ht="12.75">
      <c r="J43" s="10"/>
      <c r="K43" s="10"/>
      <c r="L43" s="10"/>
      <c r="M43" s="10"/>
    </row>
    <row r="44" spans="10:13" ht="12.75">
      <c r="J44" s="10"/>
      <c r="K44" s="10"/>
      <c r="L44" s="10"/>
      <c r="M44" s="10"/>
    </row>
    <row r="45" spans="10:13" ht="12.75">
      <c r="J45" s="10"/>
      <c r="K45" s="10"/>
      <c r="L45" s="10"/>
      <c r="M45" s="10"/>
    </row>
    <row r="46" spans="10:13" ht="12.75">
      <c r="J46" s="10"/>
      <c r="K46" s="10"/>
      <c r="L46" s="10"/>
      <c r="M46" s="10"/>
    </row>
    <row r="47" spans="10:13" ht="12.75">
      <c r="J47" s="10"/>
      <c r="K47" s="10"/>
      <c r="L47" s="10"/>
      <c r="M47" s="10"/>
    </row>
    <row r="48" spans="10:13" ht="12.75">
      <c r="J48" s="10"/>
      <c r="K48" s="10"/>
      <c r="L48" s="10"/>
      <c r="M48" s="10"/>
    </row>
    <row r="49" spans="10:13" ht="12.75">
      <c r="J49" s="10"/>
      <c r="K49" s="10"/>
      <c r="L49" s="10"/>
      <c r="M49" s="10"/>
    </row>
    <row r="50" spans="10:13" ht="12.75">
      <c r="J50" s="10"/>
      <c r="K50" s="10"/>
      <c r="L50" s="10"/>
      <c r="M50" s="10"/>
    </row>
    <row r="51" spans="10:13" ht="12.75">
      <c r="J51" s="10"/>
      <c r="K51" s="10"/>
      <c r="L51" s="10"/>
      <c r="M51" s="10"/>
    </row>
    <row r="52" spans="10:13" ht="12.75">
      <c r="J52" s="10"/>
      <c r="K52" s="10"/>
      <c r="L52" s="10"/>
      <c r="M52" s="10"/>
    </row>
    <row r="53" spans="10:13" ht="12.75">
      <c r="J53" s="10"/>
      <c r="K53" s="10"/>
      <c r="L53" s="10"/>
      <c r="M53" s="10"/>
    </row>
    <row r="54" spans="10:13" ht="12.75">
      <c r="J54" s="10"/>
      <c r="K54" s="10"/>
      <c r="L54" s="10"/>
      <c r="M54" s="10"/>
    </row>
    <row r="55" spans="10:13" ht="12.75">
      <c r="J55" s="10"/>
      <c r="K55" s="10"/>
      <c r="L55" s="10"/>
      <c r="M55" s="10"/>
    </row>
    <row r="56" spans="10:13" ht="12.75">
      <c r="J56" s="10"/>
      <c r="K56" s="10"/>
      <c r="L56" s="10"/>
      <c r="M56" s="10"/>
    </row>
    <row r="57" spans="10:13" ht="12.75">
      <c r="J57" s="10"/>
      <c r="K57" s="10"/>
      <c r="L57" s="10"/>
      <c r="M57" s="10"/>
    </row>
    <row r="58" spans="10:13" ht="12.75">
      <c r="J58" s="10"/>
      <c r="K58" s="10"/>
      <c r="L58" s="10"/>
      <c r="M58" s="10"/>
    </row>
    <row r="59" spans="10:13" ht="12.75">
      <c r="J59" s="10"/>
      <c r="K59" s="10"/>
      <c r="L59" s="10"/>
      <c r="M59" s="10"/>
    </row>
    <row r="60" spans="10:13" ht="12.75">
      <c r="J60" s="10"/>
      <c r="K60" s="10"/>
      <c r="L60" s="10"/>
      <c r="M60" s="10"/>
    </row>
    <row r="61" spans="10:13" ht="12.75">
      <c r="J61" s="10"/>
      <c r="K61" s="10"/>
      <c r="L61" s="10"/>
      <c r="M61" s="10"/>
    </row>
    <row r="62" spans="10:13" ht="12.75">
      <c r="J62" s="10"/>
      <c r="K62" s="10"/>
      <c r="L62" s="10"/>
      <c r="M62" s="10"/>
    </row>
    <row r="63" spans="10:13" ht="12.75">
      <c r="J63" s="10"/>
      <c r="K63" s="10"/>
      <c r="L63" s="10"/>
      <c r="M63" s="10"/>
    </row>
    <row r="64" spans="10:13" ht="12.75">
      <c r="J64" s="10"/>
      <c r="K64" s="10"/>
      <c r="L64" s="10"/>
      <c r="M64" s="10"/>
    </row>
    <row r="65" spans="10:13" ht="12.75">
      <c r="J65" s="10"/>
      <c r="K65" s="10"/>
      <c r="L65" s="10"/>
      <c r="M65" s="10"/>
    </row>
    <row r="66" spans="10:13" ht="12.75">
      <c r="J66" s="10"/>
      <c r="K66" s="10"/>
      <c r="L66" s="10"/>
      <c r="M66" s="10"/>
    </row>
    <row r="67" spans="10:13" ht="12.75">
      <c r="J67" s="10"/>
      <c r="K67" s="10"/>
      <c r="L67" s="10"/>
      <c r="M67" s="10"/>
    </row>
  </sheetData>
  <sheetProtection/>
  <mergeCells count="16">
    <mergeCell ref="F14:F15"/>
    <mergeCell ref="A13:F13"/>
    <mergeCell ref="A11:F11"/>
    <mergeCell ref="A12:F12"/>
    <mergeCell ref="A14:A15"/>
    <mergeCell ref="B14:B15"/>
    <mergeCell ref="C14:C15"/>
    <mergeCell ref="D14:D15"/>
    <mergeCell ref="E14:E15"/>
    <mergeCell ref="E9:F9"/>
    <mergeCell ref="E1:F1"/>
    <mergeCell ref="E2:F2"/>
    <mergeCell ref="E3:F3"/>
    <mergeCell ref="E6:F6"/>
    <mergeCell ref="E7:F7"/>
    <mergeCell ref="E8:F8"/>
  </mergeCells>
  <printOptions/>
  <pageMargins left="0.43" right="0.43" top="0.7480314960629921" bottom="0.7480314960629921" header="0.31496062992125984" footer="0.31496062992125984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J46"/>
  <sheetViews>
    <sheetView view="pageBreakPreview" zoomScaleSheetLayoutView="100" zoomScalePageLayoutView="0" workbookViewId="0" topLeftCell="A34">
      <selection activeCell="V39" sqref="V39"/>
    </sheetView>
  </sheetViews>
  <sheetFormatPr defaultColWidth="9.00390625" defaultRowHeight="12.75"/>
  <cols>
    <col min="1" max="1" width="2.75390625" style="0" customWidth="1"/>
    <col min="2" max="2" width="14.125" style="0" customWidth="1"/>
    <col min="3" max="3" width="15.75390625" style="0" customWidth="1"/>
    <col min="4" max="4" width="7.75390625" style="0" customWidth="1"/>
    <col min="5" max="5" width="1.75390625" style="0" customWidth="1"/>
    <col min="6" max="6" width="6.375" style="0" customWidth="1"/>
    <col min="7" max="7" width="1.25" style="0" customWidth="1"/>
    <col min="8" max="8" width="5.125" style="0" customWidth="1"/>
    <col min="9" max="9" width="1.75390625" style="0" customWidth="1"/>
    <col min="10" max="10" width="8.00390625" style="0" customWidth="1"/>
    <col min="11" max="11" width="2.875" style="0" customWidth="1"/>
    <col min="12" max="12" width="3.125" style="0" customWidth="1"/>
    <col min="13" max="13" width="1.25" style="0" customWidth="1"/>
    <col min="14" max="14" width="0.2421875" style="0" customWidth="1"/>
    <col min="15" max="15" width="1.875" style="0" hidden="1" customWidth="1"/>
    <col min="16" max="16" width="1.25" style="0" hidden="1" customWidth="1"/>
    <col min="17" max="17" width="0.37109375" style="0" hidden="1" customWidth="1"/>
    <col min="18" max="20" width="1.25" style="0" hidden="1" customWidth="1"/>
    <col min="21" max="21" width="0.74609375" style="0" hidden="1" customWidth="1"/>
    <col min="22" max="22" width="10.75390625" style="120" customWidth="1"/>
    <col min="24" max="24" width="16.375" style="0" customWidth="1"/>
  </cols>
  <sheetData>
    <row r="1" spans="1:22" ht="12.75" customHeight="1">
      <c r="A1" s="3"/>
      <c r="B1" s="3"/>
      <c r="C1" s="3"/>
      <c r="E1" s="81"/>
      <c r="F1" s="81"/>
      <c r="G1" s="81" t="s">
        <v>96</v>
      </c>
      <c r="H1" s="81"/>
      <c r="I1" s="81"/>
      <c r="J1" s="81"/>
      <c r="K1" s="81"/>
      <c r="L1" s="81"/>
      <c r="M1" s="81"/>
      <c r="N1" s="81"/>
      <c r="O1" s="110"/>
      <c r="P1" s="110"/>
      <c r="Q1" s="110"/>
      <c r="R1" s="110"/>
      <c r="S1" s="110"/>
      <c r="T1" s="110"/>
      <c r="U1" s="110"/>
      <c r="V1" s="111"/>
    </row>
    <row r="2" spans="1:22" ht="12.75" customHeight="1">
      <c r="A2" s="3"/>
      <c r="B2" s="3"/>
      <c r="C2" s="3"/>
      <c r="F2" s="81"/>
      <c r="G2" s="81" t="s">
        <v>90</v>
      </c>
      <c r="H2" s="81"/>
      <c r="I2" s="81"/>
      <c r="J2" s="81"/>
      <c r="K2" s="81"/>
      <c r="L2" s="81"/>
      <c r="M2" s="81"/>
      <c r="N2" s="81"/>
      <c r="O2" s="110"/>
      <c r="P2" s="110"/>
      <c r="Q2" s="110"/>
      <c r="R2" s="110"/>
      <c r="S2" s="110"/>
      <c r="T2" s="110"/>
      <c r="U2" s="110"/>
      <c r="V2" s="112"/>
    </row>
    <row r="3" spans="1:22" ht="12.75" customHeight="1">
      <c r="A3" s="3"/>
      <c r="B3" s="3"/>
      <c r="C3" s="3"/>
      <c r="E3" s="81"/>
      <c r="F3" s="81"/>
      <c r="G3" s="81" t="s">
        <v>119</v>
      </c>
      <c r="H3" s="81"/>
      <c r="I3" s="81"/>
      <c r="J3" s="81"/>
      <c r="K3" s="81"/>
      <c r="L3" s="81"/>
      <c r="M3" s="81"/>
      <c r="N3" s="81"/>
      <c r="O3" s="110"/>
      <c r="P3" s="110"/>
      <c r="Q3" s="110"/>
      <c r="R3" s="110"/>
      <c r="S3" s="110"/>
      <c r="T3" s="110"/>
      <c r="U3" s="110"/>
      <c r="V3" s="84"/>
    </row>
    <row r="4" spans="1:22" ht="12.75" customHeight="1">
      <c r="A4" s="3"/>
      <c r="B4" s="3"/>
      <c r="C4" s="3"/>
      <c r="D4" s="3"/>
      <c r="E4" s="84"/>
      <c r="F4" s="84"/>
      <c r="G4" s="3"/>
      <c r="H4" s="3"/>
      <c r="I4" s="3"/>
      <c r="J4" s="3"/>
      <c r="K4" s="3"/>
      <c r="L4" s="3"/>
      <c r="M4" s="3"/>
      <c r="N4" s="3"/>
      <c r="O4" s="107"/>
      <c r="P4" s="107"/>
      <c r="Q4" s="107"/>
      <c r="R4" s="107"/>
      <c r="S4" s="107"/>
      <c r="T4" s="107"/>
      <c r="U4" s="107"/>
      <c r="V4" s="113"/>
    </row>
    <row r="5" spans="1:22" s="108" customFormat="1" ht="12.75" customHeight="1">
      <c r="A5" s="3"/>
      <c r="B5" s="3" t="s">
        <v>74</v>
      </c>
      <c r="C5" s="3"/>
      <c r="D5" s="3"/>
      <c r="E5" s="30"/>
      <c r="F5" s="84"/>
      <c r="G5" s="30" t="s">
        <v>75</v>
      </c>
      <c r="H5" s="30"/>
      <c r="I5" s="30"/>
      <c r="J5" s="30"/>
      <c r="K5" s="30"/>
      <c r="L5" s="30"/>
      <c r="M5" s="3"/>
      <c r="N5" s="3"/>
      <c r="O5" s="114"/>
      <c r="P5" s="115"/>
      <c r="Q5" s="115"/>
      <c r="R5" s="115"/>
      <c r="S5" s="115"/>
      <c r="T5" s="115"/>
      <c r="U5" s="115"/>
      <c r="V5" s="115"/>
    </row>
    <row r="6" spans="1:22" s="108" customFormat="1" ht="12.75" customHeight="1">
      <c r="A6" s="3"/>
      <c r="B6" s="3"/>
      <c r="C6" s="3"/>
      <c r="D6" s="3"/>
      <c r="E6" s="81"/>
      <c r="F6" s="81"/>
      <c r="G6" s="81"/>
      <c r="H6" s="81"/>
      <c r="I6" s="30"/>
      <c r="J6" s="30"/>
      <c r="K6" s="30"/>
      <c r="L6" s="30"/>
      <c r="M6" s="30"/>
      <c r="N6" s="30"/>
      <c r="O6" s="114"/>
      <c r="P6" s="115"/>
      <c r="Q6" s="115"/>
      <c r="R6" s="115"/>
      <c r="S6" s="115"/>
      <c r="T6" s="115"/>
      <c r="U6" s="115"/>
      <c r="V6" s="115"/>
    </row>
    <row r="7" spans="1:22" s="108" customFormat="1" ht="12.75" customHeight="1">
      <c r="A7" s="3"/>
      <c r="B7" s="3"/>
      <c r="C7" s="3"/>
      <c r="D7" s="3"/>
      <c r="E7" s="81"/>
      <c r="F7" s="81"/>
      <c r="G7" s="81"/>
      <c r="H7" s="81"/>
      <c r="I7" s="30"/>
      <c r="J7" s="30"/>
      <c r="K7" s="30"/>
      <c r="L7" s="30"/>
      <c r="M7" s="3"/>
      <c r="N7" s="3"/>
      <c r="O7" s="114"/>
      <c r="P7" s="115"/>
      <c r="Q7" s="115"/>
      <c r="R7" s="115"/>
      <c r="S7" s="115"/>
      <c r="T7" s="115"/>
      <c r="U7" s="115"/>
      <c r="V7" s="115"/>
    </row>
    <row r="8" spans="1:22" s="108" customFormat="1" ht="12.75" customHeight="1">
      <c r="A8" s="3"/>
      <c r="B8" s="3" t="s">
        <v>109</v>
      </c>
      <c r="C8" s="3"/>
      <c r="D8" s="3"/>
      <c r="E8" s="81"/>
      <c r="F8" s="81"/>
      <c r="G8" s="81"/>
      <c r="H8" s="81"/>
      <c r="I8" s="30"/>
      <c r="J8" s="30"/>
      <c r="K8" s="30"/>
      <c r="L8" s="30"/>
      <c r="M8" s="30"/>
      <c r="N8" s="30"/>
      <c r="O8" s="109"/>
      <c r="P8" s="109"/>
      <c r="Q8" s="109"/>
      <c r="R8" s="109"/>
      <c r="S8" s="109"/>
      <c r="T8" s="109"/>
      <c r="U8" s="109"/>
      <c r="V8" s="109"/>
    </row>
    <row r="9" spans="1:22" ht="12.75">
      <c r="A9" s="3"/>
      <c r="B9" s="3" t="s">
        <v>121</v>
      </c>
      <c r="C9" s="3"/>
      <c r="D9" s="3"/>
      <c r="E9" s="81"/>
      <c r="F9" s="81"/>
      <c r="G9" s="30" t="s">
        <v>120</v>
      </c>
      <c r="H9" s="30"/>
      <c r="I9" s="30"/>
      <c r="J9" s="30"/>
      <c r="K9" s="30"/>
      <c r="L9" s="30"/>
      <c r="M9" s="30"/>
      <c r="N9" s="30"/>
      <c r="O9" s="116"/>
      <c r="P9" s="116"/>
      <c r="Q9" s="116"/>
      <c r="R9" s="116"/>
      <c r="S9" s="116"/>
      <c r="T9" s="116"/>
      <c r="U9" s="116"/>
      <c r="V9" s="117"/>
    </row>
    <row r="10" spans="1:22" ht="12.75">
      <c r="A10" s="3"/>
      <c r="B10" s="3"/>
      <c r="C10" s="3"/>
      <c r="D10" s="3"/>
      <c r="E10" s="81"/>
      <c r="F10" s="81"/>
      <c r="G10" s="30"/>
      <c r="H10" s="30"/>
      <c r="I10" s="30"/>
      <c r="J10" s="30"/>
      <c r="K10" s="30"/>
      <c r="L10" s="30"/>
      <c r="M10" s="30"/>
      <c r="N10" s="30"/>
      <c r="O10" s="116"/>
      <c r="P10" s="116"/>
      <c r="Q10" s="116"/>
      <c r="R10" s="116"/>
      <c r="S10" s="116"/>
      <c r="T10" s="116"/>
      <c r="U10" s="116"/>
      <c r="V10" s="117"/>
    </row>
    <row r="11" spans="1:22" ht="12.75">
      <c r="A11" s="3"/>
      <c r="B11" s="3"/>
      <c r="C11" s="3"/>
      <c r="D11" s="3" t="s">
        <v>17</v>
      </c>
      <c r="E11" s="81"/>
      <c r="F11" s="81"/>
      <c r="G11" s="30"/>
      <c r="H11" s="30"/>
      <c r="I11" s="30"/>
      <c r="J11" s="30"/>
      <c r="K11" s="30"/>
      <c r="L11" s="30"/>
      <c r="M11" s="30"/>
      <c r="N11" s="30"/>
      <c r="O11" s="116"/>
      <c r="P11" s="116"/>
      <c r="Q11" s="116"/>
      <c r="R11" s="116"/>
      <c r="S11" s="116"/>
      <c r="T11" s="116"/>
      <c r="U11" s="116"/>
      <c r="V11" s="117"/>
    </row>
    <row r="12" spans="1:22" ht="12.75">
      <c r="A12" s="118"/>
      <c r="B12" s="698" t="s">
        <v>91</v>
      </c>
      <c r="C12" s="698"/>
      <c r="D12" s="698"/>
      <c r="E12" s="698"/>
      <c r="F12" s="698"/>
      <c r="G12" s="698"/>
      <c r="H12" s="698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3"/>
    </row>
    <row r="13" spans="1:22" ht="23.25" customHeight="1">
      <c r="A13" s="690" t="s">
        <v>92</v>
      </c>
      <c r="B13" s="690"/>
      <c r="C13" s="690"/>
      <c r="D13" s="690"/>
      <c r="E13" s="690"/>
      <c r="F13" s="690"/>
      <c r="G13" s="690"/>
      <c r="H13" s="690"/>
      <c r="I13" s="690"/>
      <c r="J13" s="690"/>
      <c r="K13" s="690"/>
      <c r="L13" s="690"/>
      <c r="M13" s="690"/>
      <c r="N13" s="690"/>
      <c r="O13" s="690"/>
      <c r="P13" s="690"/>
      <c r="Q13" s="690"/>
      <c r="R13" s="690"/>
      <c r="S13" s="690"/>
      <c r="T13" s="690"/>
      <c r="U13" s="690"/>
      <c r="V13" s="690"/>
    </row>
    <row r="14" spans="1:28" ht="23.25" customHeight="1">
      <c r="A14" s="229"/>
      <c r="B14" s="229"/>
      <c r="C14" s="691" t="s">
        <v>323</v>
      </c>
      <c r="D14" s="691"/>
      <c r="E14" s="691"/>
      <c r="F14" s="691"/>
      <c r="G14" s="691"/>
      <c r="H14" s="691"/>
      <c r="I14" s="691"/>
      <c r="J14" s="691"/>
      <c r="K14" s="691"/>
      <c r="L14" s="691"/>
      <c r="M14" s="691"/>
      <c r="N14" s="691"/>
      <c r="O14" s="691"/>
      <c r="P14" s="691"/>
      <c r="Q14" s="691"/>
      <c r="R14" s="691"/>
      <c r="S14" s="691"/>
      <c r="T14" s="691"/>
      <c r="U14" s="691"/>
      <c r="V14" s="691"/>
      <c r="Y14" s="120"/>
      <c r="AB14" s="121"/>
    </row>
    <row r="15" spans="1:22" ht="78.75" customHeight="1">
      <c r="A15" s="122" t="s">
        <v>0</v>
      </c>
      <c r="B15" s="122" t="s">
        <v>1</v>
      </c>
      <c r="C15" s="699" t="s">
        <v>2</v>
      </c>
      <c r="D15" s="700"/>
      <c r="E15" s="701" t="s">
        <v>18</v>
      </c>
      <c r="F15" s="701"/>
      <c r="G15" s="701"/>
      <c r="H15" s="701"/>
      <c r="I15" s="701"/>
      <c r="J15" s="701"/>
      <c r="K15" s="701"/>
      <c r="L15" s="701"/>
      <c r="M15" s="701"/>
      <c r="N15" s="701"/>
      <c r="O15" s="701"/>
      <c r="P15" s="701"/>
      <c r="Q15" s="701"/>
      <c r="R15" s="701"/>
      <c r="S15" s="701"/>
      <c r="T15" s="701"/>
      <c r="U15" s="700"/>
      <c r="V15" s="122" t="s">
        <v>15</v>
      </c>
    </row>
    <row r="16" spans="1:22" ht="11.25" customHeight="1">
      <c r="A16" s="123">
        <v>1</v>
      </c>
      <c r="B16" s="123">
        <v>2</v>
      </c>
      <c r="C16" s="702">
        <v>3</v>
      </c>
      <c r="D16" s="703"/>
      <c r="E16" s="704" t="s">
        <v>14</v>
      </c>
      <c r="F16" s="704"/>
      <c r="G16" s="704"/>
      <c r="H16" s="704"/>
      <c r="I16" s="704"/>
      <c r="J16" s="704"/>
      <c r="K16" s="704"/>
      <c r="L16" s="704"/>
      <c r="M16" s="704"/>
      <c r="N16" s="704"/>
      <c r="O16" s="704"/>
      <c r="P16" s="704"/>
      <c r="Q16" s="704"/>
      <c r="R16" s="704"/>
      <c r="S16" s="704"/>
      <c r="T16" s="704"/>
      <c r="U16" s="703"/>
      <c r="V16" s="124">
        <v>5</v>
      </c>
    </row>
    <row r="17" spans="1:22" ht="124.5" customHeight="1">
      <c r="A17" s="125" t="s">
        <v>4</v>
      </c>
      <c r="B17" s="126" t="s">
        <v>376</v>
      </c>
      <c r="C17" s="688" t="s">
        <v>328</v>
      </c>
      <c r="D17" s="689"/>
      <c r="E17" s="127" t="s">
        <v>61</v>
      </c>
      <c r="F17" s="128">
        <f>D18</f>
        <v>404.6</v>
      </c>
      <c r="G17" s="129" t="s">
        <v>62</v>
      </c>
      <c r="H17" s="129">
        <f>D20</f>
        <v>3</v>
      </c>
      <c r="I17" s="130" t="s">
        <v>12</v>
      </c>
      <c r="J17" s="131">
        <f>D19</f>
        <v>180.92</v>
      </c>
      <c r="K17" s="132" t="s">
        <v>63</v>
      </c>
      <c r="L17" s="175"/>
      <c r="M17" s="133"/>
      <c r="N17" s="133"/>
      <c r="O17" s="134"/>
      <c r="P17" s="134"/>
      <c r="Q17" s="134"/>
      <c r="R17" s="134"/>
      <c r="S17" s="134"/>
      <c r="T17" s="134"/>
      <c r="U17" s="134"/>
      <c r="V17" s="208">
        <f>ROUND((F17+H17*J17)*H19*J19,2)</f>
        <v>3637.86</v>
      </c>
    </row>
    <row r="18" spans="1:22" ht="11.25" customHeight="1">
      <c r="A18" s="136"/>
      <c r="B18" s="137"/>
      <c r="C18" s="138" t="s">
        <v>93</v>
      </c>
      <c r="D18" s="139">
        <v>404.6</v>
      </c>
      <c r="E18" s="140"/>
      <c r="F18" s="140"/>
      <c r="G18" s="140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2"/>
      <c r="V18" s="143"/>
    </row>
    <row r="19" spans="1:22" ht="11.25" customHeight="1">
      <c r="A19" s="136"/>
      <c r="B19" s="137"/>
      <c r="C19" s="138" t="s">
        <v>98</v>
      </c>
      <c r="D19" s="144">
        <v>180.92</v>
      </c>
      <c r="E19" s="145"/>
      <c r="F19" s="146"/>
      <c r="G19" s="147" t="s">
        <v>12</v>
      </c>
      <c r="H19" s="148">
        <f>D21</f>
        <v>1</v>
      </c>
      <c r="I19" s="149" t="s">
        <v>12</v>
      </c>
      <c r="J19" s="150">
        <f>D22</f>
        <v>3.84</v>
      </c>
      <c r="K19" s="151"/>
      <c r="L19" s="687"/>
      <c r="M19" s="687"/>
      <c r="N19" s="148"/>
      <c r="O19" s="147"/>
      <c r="P19" s="141"/>
      <c r="Q19" s="141"/>
      <c r="R19" s="141"/>
      <c r="S19" s="141"/>
      <c r="T19" s="141"/>
      <c r="U19" s="142"/>
      <c r="V19" s="143"/>
    </row>
    <row r="20" spans="1:22" ht="11.25" customHeight="1">
      <c r="A20" s="136"/>
      <c r="B20" s="153"/>
      <c r="C20" s="138" t="s">
        <v>99</v>
      </c>
      <c r="D20" s="598">
        <v>3</v>
      </c>
      <c r="E20" s="140"/>
      <c r="F20" s="140"/>
      <c r="G20" s="140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2"/>
      <c r="V20" s="143"/>
    </row>
    <row r="21" spans="1:22" ht="15.75" customHeight="1">
      <c r="A21" s="136"/>
      <c r="B21" s="209" t="s">
        <v>100</v>
      </c>
      <c r="C21" s="210"/>
      <c r="D21" s="144">
        <v>1</v>
      </c>
      <c r="E21" s="140"/>
      <c r="F21" s="140"/>
      <c r="G21" s="140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2"/>
      <c r="V21" s="143"/>
    </row>
    <row r="22" spans="1:28" ht="27.75" customHeight="1">
      <c r="A22" s="177"/>
      <c r="B22" s="717" t="s">
        <v>124</v>
      </c>
      <c r="C22" s="718"/>
      <c r="D22" s="174">
        <v>3.84</v>
      </c>
      <c r="E22" s="155"/>
      <c r="F22" s="155"/>
      <c r="G22" s="155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7"/>
      <c r="V22" s="158"/>
      <c r="AA22" s="705"/>
      <c r="AB22" s="705"/>
    </row>
    <row r="23" spans="1:36" ht="58.5" customHeight="1">
      <c r="A23" s="178" t="s">
        <v>3</v>
      </c>
      <c r="B23" s="179" t="s">
        <v>101</v>
      </c>
      <c r="C23" s="688" t="s">
        <v>102</v>
      </c>
      <c r="D23" s="689"/>
      <c r="E23" s="134"/>
      <c r="F23" s="200">
        <f>D24</f>
        <v>30.5</v>
      </c>
      <c r="G23" s="180" t="s">
        <v>12</v>
      </c>
      <c r="H23" s="181">
        <f>D25</f>
        <v>0.88</v>
      </c>
      <c r="I23" s="130" t="s">
        <v>12</v>
      </c>
      <c r="J23" s="182">
        <f>D26</f>
        <v>1.04</v>
      </c>
      <c r="K23" s="129" t="s">
        <v>12</v>
      </c>
      <c r="L23" s="197">
        <f>D27</f>
        <v>1.1</v>
      </c>
      <c r="M23" s="129" t="s">
        <v>12</v>
      </c>
      <c r="N23" s="134"/>
      <c r="O23" s="134"/>
      <c r="P23" s="129" t="s">
        <v>12</v>
      </c>
      <c r="Q23" s="182"/>
      <c r="R23" s="183" t="e">
        <f>ROUND(Z23*AB23*AD23*AF23*AH23*AJ23*G24*I24,2)</f>
        <v>#VALUE!</v>
      </c>
      <c r="S23" s="201"/>
      <c r="T23" s="201"/>
      <c r="U23" s="201"/>
      <c r="V23" s="135">
        <f>ROUND(F23*H23*J23*L23*F24*H24*J24*L24,2)</f>
        <v>142.37</v>
      </c>
      <c r="Z23" s="198"/>
      <c r="AA23" s="199"/>
      <c r="AB23" s="145"/>
      <c r="AC23" s="146"/>
      <c r="AD23" s="176"/>
      <c r="AE23" s="147"/>
      <c r="AF23" s="147"/>
      <c r="AG23" s="147"/>
      <c r="AH23" s="152"/>
      <c r="AI23" s="147"/>
      <c r="AJ23" s="146"/>
    </row>
    <row r="24" spans="1:28" ht="15.75" customHeight="1">
      <c r="A24" s="136"/>
      <c r="B24" s="184"/>
      <c r="C24" s="138" t="s">
        <v>103</v>
      </c>
      <c r="D24" s="185">
        <v>30.5</v>
      </c>
      <c r="E24" s="186"/>
      <c r="F24" s="187">
        <f>D28</f>
        <v>1.15</v>
      </c>
      <c r="G24" s="140" t="s">
        <v>12</v>
      </c>
      <c r="H24" s="140">
        <f>D29</f>
        <v>1.5</v>
      </c>
      <c r="I24" s="189" t="s">
        <v>12</v>
      </c>
      <c r="J24" s="190">
        <f>D30</f>
        <v>0.7</v>
      </c>
      <c r="K24" s="190" t="s">
        <v>12</v>
      </c>
      <c r="L24" s="712">
        <f>D31</f>
        <v>3.84</v>
      </c>
      <c r="M24" s="712"/>
      <c r="N24" s="712"/>
      <c r="O24" s="140"/>
      <c r="P24" s="190"/>
      <c r="Q24" s="189"/>
      <c r="R24" s="191"/>
      <c r="S24" s="156"/>
      <c r="T24" s="156"/>
      <c r="U24" s="156"/>
      <c r="V24" s="143"/>
      <c r="AA24" s="159"/>
      <c r="AB24" s="159"/>
    </row>
    <row r="25" spans="1:28" ht="15.75" customHeight="1">
      <c r="A25" s="136"/>
      <c r="B25" s="184"/>
      <c r="C25" s="138" t="s">
        <v>104</v>
      </c>
      <c r="D25" s="144">
        <v>0.88</v>
      </c>
      <c r="E25" s="186"/>
      <c r="F25" s="187"/>
      <c r="G25" s="188"/>
      <c r="H25" s="140"/>
      <c r="I25" s="164"/>
      <c r="J25" s="190"/>
      <c r="K25" s="190"/>
      <c r="L25" s="190"/>
      <c r="M25" s="140"/>
      <c r="N25" s="190"/>
      <c r="O25" s="140"/>
      <c r="P25" s="190"/>
      <c r="Q25" s="189"/>
      <c r="R25" s="191"/>
      <c r="S25" s="156"/>
      <c r="T25" s="156"/>
      <c r="U25" s="156"/>
      <c r="V25" s="143"/>
      <c r="AA25" s="159"/>
      <c r="AB25" s="159"/>
    </row>
    <row r="26" spans="1:28" ht="15.75" customHeight="1">
      <c r="A26" s="136"/>
      <c r="B26" s="184"/>
      <c r="C26" s="138" t="s">
        <v>105</v>
      </c>
      <c r="D26" s="138">
        <v>1.04</v>
      </c>
      <c r="E26" s="186"/>
      <c r="F26" s="187"/>
      <c r="G26" s="188"/>
      <c r="H26" s="140"/>
      <c r="I26" s="164"/>
      <c r="J26" s="190"/>
      <c r="K26" s="190"/>
      <c r="L26" s="190"/>
      <c r="M26" s="140"/>
      <c r="N26" s="190"/>
      <c r="O26" s="140"/>
      <c r="P26" s="190"/>
      <c r="Q26" s="189"/>
      <c r="R26" s="191"/>
      <c r="S26" s="156"/>
      <c r="T26" s="156"/>
      <c r="U26" s="156"/>
      <c r="V26" s="143"/>
      <c r="AA26" s="159"/>
      <c r="AB26" s="159"/>
    </row>
    <row r="27" spans="1:28" ht="15.75" customHeight="1">
      <c r="A27" s="136"/>
      <c r="B27" s="184"/>
      <c r="C27" s="138" t="s">
        <v>77</v>
      </c>
      <c r="D27" s="138">
        <v>1.1</v>
      </c>
      <c r="E27" s="192"/>
      <c r="F27" s="140"/>
      <c r="G27" s="14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3"/>
      <c r="S27" s="156"/>
      <c r="T27" s="156"/>
      <c r="U27" s="156"/>
      <c r="V27" s="143"/>
      <c r="AA27" s="159"/>
      <c r="AB27" s="159"/>
    </row>
    <row r="28" spans="1:28" ht="15.75" customHeight="1">
      <c r="A28" s="136"/>
      <c r="B28" s="184"/>
      <c r="C28" s="138" t="s">
        <v>106</v>
      </c>
      <c r="D28" s="138">
        <v>1.15</v>
      </c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3"/>
      <c r="S28" s="156"/>
      <c r="T28" s="156"/>
      <c r="U28" s="156"/>
      <c r="V28" s="143"/>
      <c r="AA28" s="159"/>
      <c r="AB28" s="159"/>
    </row>
    <row r="29" spans="1:28" ht="15.75" customHeight="1">
      <c r="A29" s="136"/>
      <c r="B29" s="184"/>
      <c r="C29" s="138" t="s">
        <v>107</v>
      </c>
      <c r="D29" s="138">
        <v>1.5</v>
      </c>
      <c r="E29" s="192"/>
      <c r="F29" s="14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3"/>
      <c r="S29" s="156"/>
      <c r="T29" s="156"/>
      <c r="U29" s="156"/>
      <c r="V29" s="143"/>
      <c r="AA29" s="159"/>
      <c r="AB29" s="159"/>
    </row>
    <row r="30" spans="1:28" ht="15.75" customHeight="1">
      <c r="A30" s="136"/>
      <c r="B30" s="184"/>
      <c r="C30" s="138" t="s">
        <v>108</v>
      </c>
      <c r="D30" s="144">
        <v>0.7</v>
      </c>
      <c r="E30" s="192"/>
      <c r="F30" s="140"/>
      <c r="G30" s="140"/>
      <c r="H30" s="140"/>
      <c r="I30" s="141"/>
      <c r="J30" s="141"/>
      <c r="K30" s="141"/>
      <c r="L30" s="141"/>
      <c r="M30" s="141"/>
      <c r="N30" s="141"/>
      <c r="O30" s="141"/>
      <c r="P30" s="141"/>
      <c r="Q30" s="141"/>
      <c r="R30" s="193"/>
      <c r="S30" s="156"/>
      <c r="T30" s="156"/>
      <c r="U30" s="156"/>
      <c r="V30" s="143"/>
      <c r="AA30" s="159"/>
      <c r="AB30" s="159"/>
    </row>
    <row r="31" spans="1:28" ht="63" customHeight="1">
      <c r="A31" s="136"/>
      <c r="B31" s="195"/>
      <c r="C31" s="138" t="s">
        <v>125</v>
      </c>
      <c r="D31" s="154">
        <v>3.84</v>
      </c>
      <c r="E31" s="154"/>
      <c r="F31" s="155"/>
      <c r="G31" s="155"/>
      <c r="H31" s="155"/>
      <c r="I31" s="156"/>
      <c r="J31" s="156"/>
      <c r="K31" s="156"/>
      <c r="L31" s="156"/>
      <c r="M31" s="156"/>
      <c r="N31" s="156"/>
      <c r="O31" s="156"/>
      <c r="P31" s="156"/>
      <c r="Q31" s="156"/>
      <c r="R31" s="196"/>
      <c r="S31" s="156"/>
      <c r="T31" s="156"/>
      <c r="U31" s="156"/>
      <c r="V31" s="158"/>
      <c r="AA31" s="159"/>
      <c r="AB31" s="159"/>
    </row>
    <row r="32" spans="1:28" ht="14.25" customHeight="1">
      <c r="A32" s="230"/>
      <c r="B32" s="184"/>
      <c r="C32" s="713" t="s">
        <v>94</v>
      </c>
      <c r="D32" s="714"/>
      <c r="E32" s="714"/>
      <c r="F32" s="714"/>
      <c r="G32" s="714"/>
      <c r="H32" s="714"/>
      <c r="I32" s="714"/>
      <c r="J32" s="714"/>
      <c r="K32" s="714"/>
      <c r="L32" s="714"/>
      <c r="M32" s="714"/>
      <c r="N32" s="714"/>
      <c r="O32" s="714"/>
      <c r="P32" s="714"/>
      <c r="Q32" s="714"/>
      <c r="R32" s="714"/>
      <c r="S32" s="714"/>
      <c r="T32" s="714"/>
      <c r="U32" s="715"/>
      <c r="V32" s="211">
        <f>V17+V23</f>
        <v>3780.23</v>
      </c>
      <c r="AA32" s="159"/>
      <c r="AB32" s="159"/>
    </row>
    <row r="33" spans="1:28" s="194" customFormat="1" ht="142.5" customHeight="1">
      <c r="A33" s="232" t="s">
        <v>13</v>
      </c>
      <c r="B33" s="161" t="s">
        <v>117</v>
      </c>
      <c r="C33" s="212" t="s">
        <v>118</v>
      </c>
      <c r="D33" s="214">
        <v>4</v>
      </c>
      <c r="E33" s="716">
        <f>V32</f>
        <v>3780.23</v>
      </c>
      <c r="F33" s="716"/>
      <c r="G33" s="204" t="s">
        <v>12</v>
      </c>
      <c r="H33" s="204">
        <f>D33/100</f>
        <v>0.04</v>
      </c>
      <c r="I33" s="201"/>
      <c r="J33" s="201"/>
      <c r="K33" s="201"/>
      <c r="L33" s="201"/>
      <c r="M33" s="201"/>
      <c r="N33" s="201"/>
      <c r="O33" s="201"/>
      <c r="P33" s="201"/>
      <c r="Q33" s="201"/>
      <c r="R33" s="213"/>
      <c r="S33" s="201"/>
      <c r="T33" s="201"/>
      <c r="U33" s="201"/>
      <c r="V33" s="162">
        <f>ROUND(E33*H33,2)</f>
        <v>151.21</v>
      </c>
      <c r="AA33" s="231"/>
      <c r="AB33" s="231"/>
    </row>
    <row r="34" spans="1:22" ht="13.5" customHeight="1">
      <c r="A34" s="160" t="s">
        <v>14</v>
      </c>
      <c r="B34" s="195"/>
      <c r="C34" s="706" t="s">
        <v>94</v>
      </c>
      <c r="D34" s="707"/>
      <c r="E34" s="707"/>
      <c r="F34" s="707"/>
      <c r="G34" s="707"/>
      <c r="H34" s="707"/>
      <c r="I34" s="707"/>
      <c r="J34" s="707"/>
      <c r="K34" s="707"/>
      <c r="L34" s="707"/>
      <c r="M34" s="707"/>
      <c r="N34" s="707"/>
      <c r="O34" s="707"/>
      <c r="P34" s="707"/>
      <c r="Q34" s="707"/>
      <c r="R34" s="707"/>
      <c r="S34" s="707"/>
      <c r="T34" s="707"/>
      <c r="U34" s="708"/>
      <c r="V34" s="215">
        <f>V32+V33</f>
        <v>3931.44</v>
      </c>
    </row>
    <row r="35" spans="1:22" ht="13.5" customHeight="1">
      <c r="A35" s="160" t="s">
        <v>21</v>
      </c>
      <c r="B35" s="163"/>
      <c r="C35" s="709" t="s">
        <v>89</v>
      </c>
      <c r="D35" s="710"/>
      <c r="E35" s="710"/>
      <c r="F35" s="710"/>
      <c r="G35" s="710"/>
      <c r="H35" s="710"/>
      <c r="I35" s="710"/>
      <c r="J35" s="710"/>
      <c r="K35" s="710"/>
      <c r="L35" s="710"/>
      <c r="M35" s="710"/>
      <c r="N35" s="710"/>
      <c r="O35" s="710"/>
      <c r="P35" s="710"/>
      <c r="Q35" s="710"/>
      <c r="R35" s="710"/>
      <c r="S35" s="710"/>
      <c r="T35" s="710"/>
      <c r="U35" s="711"/>
      <c r="V35" s="216">
        <f>V34*1000</f>
        <v>3931440</v>
      </c>
    </row>
    <row r="36" spans="1:28" ht="16.5" customHeight="1">
      <c r="A36" s="160" t="s">
        <v>82</v>
      </c>
      <c r="B36" s="724" t="s">
        <v>22</v>
      </c>
      <c r="C36" s="725"/>
      <c r="D36" s="23" t="s">
        <v>4</v>
      </c>
      <c r="E36" s="696">
        <f>V35</f>
        <v>3931440</v>
      </c>
      <c r="F36" s="697"/>
      <c r="G36" s="697"/>
      <c r="H36" s="697"/>
      <c r="I36" s="697"/>
      <c r="J36" s="697"/>
      <c r="K36" s="165" t="s">
        <v>12</v>
      </c>
      <c r="L36" s="165" t="str">
        <f>D36</f>
        <v>1</v>
      </c>
      <c r="M36" s="165"/>
      <c r="N36" s="165"/>
      <c r="O36" s="165"/>
      <c r="P36" s="165"/>
      <c r="Q36" s="165"/>
      <c r="R36" s="165"/>
      <c r="S36" s="165"/>
      <c r="T36" s="165"/>
      <c r="U36" s="165"/>
      <c r="V36" s="217">
        <f>ROUND(E36*L36,3)</f>
        <v>3931440</v>
      </c>
      <c r="Z36" s="719"/>
      <c r="AA36" s="719"/>
      <c r="AB36" s="719"/>
    </row>
    <row r="37" spans="1:27" ht="12.75">
      <c r="A37" s="166" t="s">
        <v>95</v>
      </c>
      <c r="B37" s="1"/>
      <c r="C37" s="2" t="s">
        <v>16</v>
      </c>
      <c r="D37" s="167">
        <v>0.18</v>
      </c>
      <c r="E37" s="22"/>
      <c r="F37" s="22"/>
      <c r="G37" s="22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218">
        <f>ROUND(V36*0.18,3)</f>
        <v>707659.2</v>
      </c>
      <c r="Z37" s="720"/>
      <c r="AA37" s="720"/>
    </row>
    <row r="38" spans="1:22" ht="19.5" customHeight="1">
      <c r="A38" s="25" t="s">
        <v>110</v>
      </c>
      <c r="B38" s="721" t="s">
        <v>116</v>
      </c>
      <c r="C38" s="721"/>
      <c r="D38" s="721"/>
      <c r="E38" s="721"/>
      <c r="F38" s="721"/>
      <c r="G38" s="721"/>
      <c r="H38" s="721"/>
      <c r="I38" s="721"/>
      <c r="J38" s="721"/>
      <c r="K38" s="721"/>
      <c r="L38" s="721"/>
      <c r="M38" s="721"/>
      <c r="N38" s="721"/>
      <c r="O38" s="169"/>
      <c r="P38" s="15"/>
      <c r="Q38" s="15"/>
      <c r="R38" s="15"/>
      <c r="S38" s="15"/>
      <c r="T38" s="15"/>
      <c r="U38" s="15"/>
      <c r="V38" s="219">
        <f>ROUND((V36+V37),2)</f>
        <v>4639099.2</v>
      </c>
    </row>
    <row r="39" spans="1:22" ht="13.5" customHeight="1">
      <c r="A39" s="106" t="s">
        <v>111</v>
      </c>
      <c r="B39" s="722" t="s">
        <v>83</v>
      </c>
      <c r="C39" s="723"/>
      <c r="D39" s="170" t="s">
        <v>84</v>
      </c>
      <c r="E39" s="694">
        <f>V38</f>
        <v>4639099.2</v>
      </c>
      <c r="F39" s="695"/>
      <c r="G39" s="695"/>
      <c r="H39" s="695"/>
      <c r="I39" s="695"/>
      <c r="J39" s="695"/>
      <c r="K39" s="202" t="s">
        <v>12</v>
      </c>
      <c r="L39" s="203" t="s">
        <v>85</v>
      </c>
      <c r="M39" s="203"/>
      <c r="N39" s="203"/>
      <c r="O39" s="203"/>
      <c r="P39" s="165"/>
      <c r="Q39" s="165"/>
      <c r="R39" s="165"/>
      <c r="S39" s="165"/>
      <c r="T39" s="165"/>
      <c r="U39" s="165"/>
      <c r="V39" s="219">
        <f>ROUND(E39*L39,2)</f>
        <v>1855639.68</v>
      </c>
    </row>
    <row r="40" spans="1:22" ht="12.75">
      <c r="A40" s="172"/>
      <c r="B40" s="692" t="s">
        <v>86</v>
      </c>
      <c r="C40" s="693"/>
      <c r="D40" s="23" t="s">
        <v>87</v>
      </c>
      <c r="E40" s="696">
        <f>V38</f>
        <v>4639099.2</v>
      </c>
      <c r="F40" s="697"/>
      <c r="G40" s="697"/>
      <c r="H40" s="697"/>
      <c r="I40" s="697"/>
      <c r="J40" s="697"/>
      <c r="K40" s="171" t="s">
        <v>12</v>
      </c>
      <c r="L40" s="165" t="s">
        <v>88</v>
      </c>
      <c r="M40" s="165"/>
      <c r="N40" s="165"/>
      <c r="O40" s="169"/>
      <c r="P40" s="173"/>
      <c r="Q40" s="173"/>
      <c r="R40" s="173"/>
      <c r="S40" s="173"/>
      <c r="T40" s="173"/>
      <c r="U40" s="173"/>
      <c r="V40" s="220">
        <f>ROUND(E40*L40,2)</f>
        <v>2783459.52</v>
      </c>
    </row>
    <row r="42" spans="2:14" ht="12.75">
      <c r="B42" s="15"/>
      <c r="C42" s="15"/>
      <c r="D42" s="3"/>
      <c r="E42" s="3"/>
      <c r="F42" s="3"/>
      <c r="G42" s="3"/>
      <c r="H42" s="15"/>
      <c r="I42" s="3"/>
      <c r="J42" s="3"/>
      <c r="K42" s="3"/>
      <c r="L42" s="3"/>
      <c r="M42" s="3"/>
      <c r="N42" s="3"/>
    </row>
    <row r="43" spans="2:7" ht="15">
      <c r="B43" s="561" t="s">
        <v>274</v>
      </c>
      <c r="C43" s="560"/>
      <c r="G43" s="560" t="s">
        <v>275</v>
      </c>
    </row>
    <row r="44" spans="2:7" ht="15">
      <c r="B44" s="439"/>
      <c r="C44" s="560"/>
      <c r="G44" s="560"/>
    </row>
    <row r="45" spans="2:7" ht="15">
      <c r="B45" s="439"/>
      <c r="C45" s="560"/>
      <c r="G45" s="560"/>
    </row>
    <row r="46" spans="2:7" ht="15">
      <c r="B46" s="562" t="s">
        <v>276</v>
      </c>
      <c r="C46" s="560"/>
      <c r="G46" s="560" t="s">
        <v>275</v>
      </c>
    </row>
  </sheetData>
  <sheetProtection/>
  <mergeCells count="26">
    <mergeCell ref="Z36:AB36"/>
    <mergeCell ref="Z37:AA37"/>
    <mergeCell ref="B38:N38"/>
    <mergeCell ref="E36:J36"/>
    <mergeCell ref="B39:C39"/>
    <mergeCell ref="B36:C36"/>
    <mergeCell ref="AA22:AB22"/>
    <mergeCell ref="C34:U34"/>
    <mergeCell ref="C35:U35"/>
    <mergeCell ref="L24:N24"/>
    <mergeCell ref="C32:U32"/>
    <mergeCell ref="E33:F33"/>
    <mergeCell ref="B22:C22"/>
    <mergeCell ref="B12:H12"/>
    <mergeCell ref="C15:D15"/>
    <mergeCell ref="E15:U15"/>
    <mergeCell ref="C16:D16"/>
    <mergeCell ref="E16:U16"/>
    <mergeCell ref="C17:D17"/>
    <mergeCell ref="L19:M19"/>
    <mergeCell ref="C23:D23"/>
    <mergeCell ref="A13:V13"/>
    <mergeCell ref="C14:V14"/>
    <mergeCell ref="B40:C40"/>
    <mergeCell ref="E39:J39"/>
    <mergeCell ref="E40:J40"/>
  </mergeCells>
  <printOptions/>
  <pageMargins left="0.7086614173228347" right="0.11811023622047245" top="0.35433070866141736" bottom="0.35433070866141736" header="0.31496062992125984" footer="0.31496062992125984"/>
  <pageSetup horizontalDpi="600" verticalDpi="600" orientation="portrait" paperSize="9" scale="11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28">
      <selection activeCell="D23" sqref="D23"/>
    </sheetView>
  </sheetViews>
  <sheetFormatPr defaultColWidth="9.00390625" defaultRowHeight="12.75"/>
  <cols>
    <col min="1" max="1" width="4.375" style="0" customWidth="1"/>
    <col min="2" max="2" width="4.00390625" style="0" customWidth="1"/>
    <col min="3" max="3" width="35.25390625" style="0" customWidth="1"/>
    <col min="4" max="4" width="7.375" style="0" customWidth="1"/>
    <col min="5" max="5" width="14.875" style="0" customWidth="1"/>
    <col min="6" max="6" width="6.25390625" style="0" customWidth="1"/>
    <col min="7" max="7" width="2.25390625" style="0" customWidth="1"/>
    <col min="8" max="8" width="5.375" style="0" customWidth="1"/>
    <col min="9" max="9" width="2.625" style="0" customWidth="1"/>
    <col min="10" max="10" width="5.00390625" style="0" customWidth="1"/>
    <col min="11" max="11" width="1.625" style="0" customWidth="1"/>
    <col min="12" max="12" width="5.25390625" style="0" customWidth="1"/>
    <col min="13" max="13" width="1.25" style="0" customWidth="1"/>
    <col min="14" max="14" width="4.125" style="0" customWidth="1"/>
    <col min="15" max="15" width="12.375" style="0" customWidth="1"/>
  </cols>
  <sheetData>
    <row r="1" spans="1:15" ht="12.75">
      <c r="A1" s="233"/>
      <c r="B1" s="234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</row>
    <row r="2" spans="1:15" ht="12.75">
      <c r="A2" s="233"/>
      <c r="B2" s="234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</row>
    <row r="3" spans="1:15" ht="15.75">
      <c r="A3" s="233"/>
      <c r="B3" s="726" t="s">
        <v>74</v>
      </c>
      <c r="C3" s="726"/>
      <c r="D3" s="235"/>
      <c r="E3" s="235"/>
      <c r="F3" s="236" t="s">
        <v>75</v>
      </c>
      <c r="G3" s="236"/>
      <c r="H3" s="237"/>
      <c r="I3" s="237"/>
      <c r="J3" s="237"/>
      <c r="K3" s="237"/>
      <c r="L3" s="237"/>
      <c r="M3" s="237"/>
      <c r="N3" s="237"/>
      <c r="O3" s="237"/>
    </row>
    <row r="4" spans="1:15" ht="15.75">
      <c r="A4" s="233"/>
      <c r="B4" s="727"/>
      <c r="C4" s="727"/>
      <c r="D4" s="727"/>
      <c r="E4" s="235"/>
      <c r="F4" s="728"/>
      <c r="G4" s="728"/>
      <c r="H4" s="728"/>
      <c r="I4" s="728"/>
      <c r="J4" s="728"/>
      <c r="K4" s="728"/>
      <c r="L4" s="728"/>
      <c r="M4" s="728"/>
      <c r="N4" s="728"/>
      <c r="O4" s="728"/>
    </row>
    <row r="5" spans="1:15" ht="15.75">
      <c r="A5" s="233"/>
      <c r="B5" s="726" t="s">
        <v>126</v>
      </c>
      <c r="C5" s="726"/>
      <c r="D5" s="235"/>
      <c r="E5" s="235"/>
      <c r="F5" s="726" t="s">
        <v>127</v>
      </c>
      <c r="G5" s="726"/>
      <c r="H5" s="726"/>
      <c r="I5" s="726"/>
      <c r="J5" s="726"/>
      <c r="K5" s="726"/>
      <c r="L5" s="726"/>
      <c r="M5" s="726"/>
      <c r="N5" s="726"/>
      <c r="O5" s="726"/>
    </row>
    <row r="6" spans="1:15" ht="15.75">
      <c r="A6" s="233"/>
      <c r="B6" s="727" t="s">
        <v>128</v>
      </c>
      <c r="C6" s="727"/>
      <c r="D6" s="235"/>
      <c r="E6" s="235"/>
      <c r="F6" s="727" t="s">
        <v>128</v>
      </c>
      <c r="G6" s="727"/>
      <c r="H6" s="727"/>
      <c r="I6" s="727"/>
      <c r="J6" s="727"/>
      <c r="K6" s="727"/>
      <c r="L6" s="727"/>
      <c r="M6" s="727"/>
      <c r="N6" s="727"/>
      <c r="O6" s="727"/>
    </row>
    <row r="7" spans="1:15" ht="12.75">
      <c r="A7" s="233"/>
      <c r="B7" s="233"/>
      <c r="C7" s="729" t="s">
        <v>129</v>
      </c>
      <c r="D7" s="729"/>
      <c r="E7" s="729"/>
      <c r="F7" s="729"/>
      <c r="G7" s="729"/>
      <c r="H7" s="729"/>
      <c r="I7" s="729"/>
      <c r="J7" s="729"/>
      <c r="K7" s="729"/>
      <c r="L7" s="729"/>
      <c r="M7" s="729"/>
      <c r="N7" s="729"/>
      <c r="O7" s="238"/>
    </row>
    <row r="8" spans="1:15" ht="12.75">
      <c r="A8" s="233"/>
      <c r="B8" s="233"/>
      <c r="C8" s="730" t="s">
        <v>130</v>
      </c>
      <c r="D8" s="730"/>
      <c r="E8" s="730"/>
      <c r="F8" s="730"/>
      <c r="G8" s="730"/>
      <c r="H8" s="730"/>
      <c r="I8" s="730"/>
      <c r="J8" s="730"/>
      <c r="K8" s="730"/>
      <c r="L8" s="730"/>
      <c r="M8" s="730"/>
      <c r="N8" s="730"/>
      <c r="O8" s="233"/>
    </row>
    <row r="9" spans="1:15" ht="12.75">
      <c r="A9" s="731" t="s">
        <v>324</v>
      </c>
      <c r="B9" s="731"/>
      <c r="C9" s="731"/>
      <c r="D9" s="731"/>
      <c r="E9" s="731"/>
      <c r="F9" s="731"/>
      <c r="G9" s="731"/>
      <c r="H9" s="731"/>
      <c r="I9" s="731"/>
      <c r="J9" s="731"/>
      <c r="K9" s="731"/>
      <c r="L9" s="731"/>
      <c r="M9" s="731"/>
      <c r="N9" s="731"/>
      <c r="O9" s="731"/>
    </row>
    <row r="10" spans="1:15" ht="15">
      <c r="A10" s="233"/>
      <c r="B10" s="239" t="s">
        <v>114</v>
      </c>
      <c r="C10" s="732" t="s">
        <v>131</v>
      </c>
      <c r="D10" s="732"/>
      <c r="E10" s="732"/>
      <c r="F10" s="732"/>
      <c r="G10" s="732"/>
      <c r="H10" s="732"/>
      <c r="I10" s="732"/>
      <c r="J10" s="732"/>
      <c r="K10" s="732"/>
      <c r="L10" s="732"/>
      <c r="M10" s="239"/>
      <c r="N10" s="239"/>
      <c r="O10" s="239"/>
    </row>
    <row r="11" spans="1:15" ht="12.75">
      <c r="A11" s="233"/>
      <c r="B11" s="733" t="s">
        <v>132</v>
      </c>
      <c r="C11" s="733" t="s">
        <v>133</v>
      </c>
      <c r="D11" s="733" t="s">
        <v>134</v>
      </c>
      <c r="E11" s="733" t="s">
        <v>135</v>
      </c>
      <c r="F11" s="734" t="s">
        <v>136</v>
      </c>
      <c r="G11" s="735"/>
      <c r="H11" s="735"/>
      <c r="I11" s="735"/>
      <c r="J11" s="735"/>
      <c r="K11" s="735"/>
      <c r="L11" s="735"/>
      <c r="M11" s="735"/>
      <c r="N11" s="735"/>
      <c r="O11" s="738" t="s">
        <v>137</v>
      </c>
    </row>
    <row r="12" spans="1:15" ht="12.75">
      <c r="A12" s="233"/>
      <c r="B12" s="733"/>
      <c r="C12" s="733"/>
      <c r="D12" s="733"/>
      <c r="E12" s="733"/>
      <c r="F12" s="736"/>
      <c r="G12" s="737"/>
      <c r="H12" s="737"/>
      <c r="I12" s="737"/>
      <c r="J12" s="737"/>
      <c r="K12" s="737"/>
      <c r="L12" s="737"/>
      <c r="M12" s="737"/>
      <c r="N12" s="737"/>
      <c r="O12" s="739"/>
    </row>
    <row r="13" spans="1:15" ht="12.75">
      <c r="A13" s="233"/>
      <c r="B13" s="240">
        <v>1</v>
      </c>
      <c r="C13" s="240">
        <v>2</v>
      </c>
      <c r="D13" s="240">
        <v>3</v>
      </c>
      <c r="E13" s="240">
        <v>4</v>
      </c>
      <c r="F13" s="740">
        <v>5</v>
      </c>
      <c r="G13" s="741"/>
      <c r="H13" s="741"/>
      <c r="I13" s="741"/>
      <c r="J13" s="741"/>
      <c r="K13" s="741"/>
      <c r="L13" s="741"/>
      <c r="M13" s="741"/>
      <c r="N13" s="741"/>
      <c r="O13" s="242">
        <v>6</v>
      </c>
    </row>
    <row r="14" spans="1:15" ht="12.75">
      <c r="A14" s="233"/>
      <c r="B14" s="243"/>
      <c r="C14" s="243" t="s">
        <v>138</v>
      </c>
      <c r="D14" s="240"/>
      <c r="E14" s="244"/>
      <c r="F14" s="241"/>
      <c r="G14" s="241"/>
      <c r="H14" s="241"/>
      <c r="I14" s="241"/>
      <c r="J14" s="241"/>
      <c r="K14" s="241"/>
      <c r="L14" s="241"/>
      <c r="M14" s="241"/>
      <c r="N14" s="241"/>
      <c r="O14" s="242"/>
    </row>
    <row r="15" spans="1:15" ht="12.75">
      <c r="A15" s="233"/>
      <c r="B15" s="245"/>
      <c r="C15" s="246" t="s">
        <v>139</v>
      </c>
      <c r="D15" s="247">
        <v>2</v>
      </c>
      <c r="E15" s="248"/>
      <c r="F15" s="249"/>
      <c r="G15" s="249"/>
      <c r="H15" s="249"/>
      <c r="I15" s="249"/>
      <c r="J15" s="249"/>
      <c r="K15" s="249"/>
      <c r="L15" s="249"/>
      <c r="M15" s="249"/>
      <c r="N15" s="249"/>
      <c r="O15" s="250"/>
    </row>
    <row r="16" spans="1:15" ht="12.75">
      <c r="A16" s="233"/>
      <c r="B16" s="245"/>
      <c r="C16" s="246"/>
      <c r="D16" s="247"/>
      <c r="E16" s="251"/>
      <c r="F16" s="249"/>
      <c r="G16" s="249"/>
      <c r="H16" s="249"/>
      <c r="I16" s="249"/>
      <c r="J16" s="249"/>
      <c r="K16" s="249"/>
      <c r="L16" s="249"/>
      <c r="M16" s="249"/>
      <c r="N16" s="249"/>
      <c r="O16" s="250"/>
    </row>
    <row r="17" spans="1:15" ht="12.75">
      <c r="A17" s="233"/>
      <c r="B17" s="742"/>
      <c r="C17" s="743"/>
      <c r="D17" s="743"/>
      <c r="E17" s="743"/>
      <c r="F17" s="743"/>
      <c r="G17" s="743"/>
      <c r="H17" s="743"/>
      <c r="I17" s="743"/>
      <c r="J17" s="743"/>
      <c r="K17" s="743"/>
      <c r="L17" s="743"/>
      <c r="M17" s="743"/>
      <c r="N17" s="743"/>
      <c r="O17" s="744"/>
    </row>
    <row r="18" spans="1:15" ht="12.75">
      <c r="A18" s="233"/>
      <c r="B18" s="745">
        <v>1</v>
      </c>
      <c r="C18" s="747" t="s">
        <v>329</v>
      </c>
      <c r="D18" s="252"/>
      <c r="E18" s="749" t="s">
        <v>140</v>
      </c>
      <c r="F18" s="751" t="s">
        <v>23</v>
      </c>
      <c r="G18" s="752"/>
      <c r="H18" s="752"/>
      <c r="I18" s="752"/>
      <c r="J18" s="752"/>
      <c r="K18" s="752"/>
      <c r="L18" s="752"/>
      <c r="M18" s="752"/>
      <c r="N18" s="752"/>
      <c r="O18" s="253"/>
    </row>
    <row r="19" spans="1:15" ht="12.75">
      <c r="A19" s="233"/>
      <c r="B19" s="746"/>
      <c r="C19" s="748"/>
      <c r="D19" s="254"/>
      <c r="E19" s="750"/>
      <c r="F19" s="255">
        <v>3284</v>
      </c>
      <c r="G19" s="256" t="s">
        <v>141</v>
      </c>
      <c r="H19" s="257">
        <f>D15</f>
        <v>2</v>
      </c>
      <c r="I19" s="256" t="s">
        <v>141</v>
      </c>
      <c r="J19" s="256">
        <f>D23</f>
        <v>1.1</v>
      </c>
      <c r="K19" s="256" t="s">
        <v>141</v>
      </c>
      <c r="L19" s="233">
        <f>D22</f>
        <v>1.55</v>
      </c>
      <c r="M19" s="256"/>
      <c r="N19" s="233"/>
      <c r="O19" s="258">
        <f>F19*J19*H19*L19</f>
        <v>11198.44</v>
      </c>
    </row>
    <row r="20" spans="1:15" ht="12.75">
      <c r="A20" s="233"/>
      <c r="B20" s="746"/>
      <c r="C20" s="748"/>
      <c r="D20" s="254"/>
      <c r="E20" s="750"/>
      <c r="F20" s="259"/>
      <c r="G20" s="260"/>
      <c r="H20" s="260"/>
      <c r="I20" s="260"/>
      <c r="J20" s="260"/>
      <c r="K20" s="260"/>
      <c r="L20" s="260"/>
      <c r="M20" s="260"/>
      <c r="N20" s="260"/>
      <c r="O20" s="261"/>
    </row>
    <row r="21" spans="1:15" ht="12.75">
      <c r="A21" s="233"/>
      <c r="B21" s="746"/>
      <c r="C21" s="262" t="s">
        <v>142</v>
      </c>
      <c r="D21" s="254"/>
      <c r="E21" s="750"/>
      <c r="F21" s="255"/>
      <c r="G21" s="263"/>
      <c r="H21" s="263"/>
      <c r="I21" s="263"/>
      <c r="J21" s="263"/>
      <c r="K21" s="263"/>
      <c r="L21" s="263"/>
      <c r="M21" s="263"/>
      <c r="N21" s="263"/>
      <c r="O21" s="261"/>
    </row>
    <row r="22" spans="1:15" ht="12.75">
      <c r="A22" s="233"/>
      <c r="B22" s="746"/>
      <c r="C22" s="262" t="s">
        <v>143</v>
      </c>
      <c r="D22" s="264">
        <v>1.55</v>
      </c>
      <c r="E22" s="750"/>
      <c r="F22" s="753" t="s">
        <v>24</v>
      </c>
      <c r="G22" s="754"/>
      <c r="H22" s="754"/>
      <c r="I22" s="754"/>
      <c r="J22" s="754"/>
      <c r="K22" s="754"/>
      <c r="L22" s="754"/>
      <c r="M22" s="754"/>
      <c r="N22" s="754"/>
      <c r="O22" s="261"/>
    </row>
    <row r="23" spans="1:15" ht="12.75">
      <c r="A23" s="233"/>
      <c r="B23" s="746"/>
      <c r="C23" s="262" t="s">
        <v>144</v>
      </c>
      <c r="D23" s="264">
        <v>1.1</v>
      </c>
      <c r="E23" s="750"/>
      <c r="F23" s="255">
        <v>1067</v>
      </c>
      <c r="G23" s="256" t="s">
        <v>141</v>
      </c>
      <c r="H23" s="257">
        <f>H19</f>
        <v>2</v>
      </c>
      <c r="I23" s="256" t="s">
        <v>141</v>
      </c>
      <c r="J23" s="256">
        <f>D24</f>
        <v>1.2</v>
      </c>
      <c r="K23" s="256"/>
      <c r="L23" s="256"/>
      <c r="M23" s="256"/>
      <c r="N23" s="256"/>
      <c r="O23" s="258">
        <f>F23*J23*H23</f>
        <v>2560.8</v>
      </c>
    </row>
    <row r="24" spans="1:15" ht="12.75">
      <c r="A24" s="233"/>
      <c r="B24" s="746"/>
      <c r="C24" s="262" t="s">
        <v>145</v>
      </c>
      <c r="D24" s="264">
        <v>1.2</v>
      </c>
      <c r="E24" s="750"/>
      <c r="F24" s="255"/>
      <c r="G24" s="256"/>
      <c r="H24" s="257"/>
      <c r="I24" s="256"/>
      <c r="J24" s="256"/>
      <c r="K24" s="256"/>
      <c r="L24" s="256"/>
      <c r="M24" s="256"/>
      <c r="N24" s="256"/>
      <c r="O24" s="258"/>
    </row>
    <row r="25" spans="1:15" ht="12.75">
      <c r="A25" s="233"/>
      <c r="B25" s="746"/>
      <c r="C25" s="265"/>
      <c r="D25" s="254"/>
      <c r="E25" s="750"/>
      <c r="F25" s="255"/>
      <c r="G25" s="263"/>
      <c r="H25" s="263"/>
      <c r="I25" s="263"/>
      <c r="J25" s="263"/>
      <c r="K25" s="263"/>
      <c r="L25" s="263"/>
      <c r="M25" s="263"/>
      <c r="N25" s="263"/>
      <c r="O25" s="261"/>
    </row>
    <row r="26" spans="1:15" ht="12.75">
      <c r="A26" s="233"/>
      <c r="B26" s="266"/>
      <c r="C26" s="267"/>
      <c r="D26" s="267"/>
      <c r="E26" s="268"/>
      <c r="F26" s="269"/>
      <c r="G26" s="269"/>
      <c r="H26" s="269"/>
      <c r="I26" s="269"/>
      <c r="J26" s="269"/>
      <c r="K26" s="269"/>
      <c r="L26" s="269"/>
      <c r="M26" s="269"/>
      <c r="N26" s="270" t="s">
        <v>146</v>
      </c>
      <c r="O26" s="271">
        <f>O27+O28</f>
        <v>13759.24</v>
      </c>
    </row>
    <row r="27" spans="1:15" ht="12.75">
      <c r="A27" s="233"/>
      <c r="B27" s="272"/>
      <c r="C27" s="273"/>
      <c r="D27" s="273"/>
      <c r="E27" s="274"/>
      <c r="F27" s="275"/>
      <c r="G27" s="275"/>
      <c r="H27" s="275"/>
      <c r="I27" s="275"/>
      <c r="J27" s="275"/>
      <c r="K27" s="275"/>
      <c r="L27" s="275"/>
      <c r="M27" s="275"/>
      <c r="N27" s="276" t="s">
        <v>147</v>
      </c>
      <c r="O27" s="277">
        <f>O19</f>
        <v>11198.44</v>
      </c>
    </row>
    <row r="28" spans="1:15" ht="12.75">
      <c r="A28" s="233"/>
      <c r="B28" s="278"/>
      <c r="C28" s="279"/>
      <c r="D28" s="279"/>
      <c r="E28" s="280"/>
      <c r="F28" s="281"/>
      <c r="G28" s="281"/>
      <c r="H28" s="281"/>
      <c r="I28" s="281"/>
      <c r="J28" s="281"/>
      <c r="K28" s="281"/>
      <c r="L28" s="281"/>
      <c r="M28" s="281"/>
      <c r="N28" s="282" t="s">
        <v>148</v>
      </c>
      <c r="O28" s="283">
        <f>O23</f>
        <v>2560.8</v>
      </c>
    </row>
    <row r="29" spans="1:15" ht="38.25">
      <c r="A29" s="233"/>
      <c r="B29" s="278">
        <v>4</v>
      </c>
      <c r="C29" s="284" t="s">
        <v>149</v>
      </c>
      <c r="D29" s="285">
        <v>0.0375</v>
      </c>
      <c r="E29" s="284" t="s">
        <v>150</v>
      </c>
      <c r="F29" s="286">
        <v>3.75</v>
      </c>
      <c r="G29" s="287" t="s">
        <v>151</v>
      </c>
      <c r="H29" s="287" t="s">
        <v>152</v>
      </c>
      <c r="I29" s="761">
        <f>O27</f>
        <v>11198</v>
      </c>
      <c r="J29" s="762"/>
      <c r="K29" s="287"/>
      <c r="L29" s="288"/>
      <c r="M29" s="287"/>
      <c r="N29" s="289"/>
      <c r="O29" s="290">
        <f>(I29)*F29/100</f>
        <v>419.93</v>
      </c>
    </row>
    <row r="30" spans="1:15" ht="38.25">
      <c r="A30" s="233"/>
      <c r="B30" s="291">
        <v>5</v>
      </c>
      <c r="C30" s="292" t="s">
        <v>153</v>
      </c>
      <c r="D30" s="293">
        <v>0.06</v>
      </c>
      <c r="E30" s="294" t="s">
        <v>154</v>
      </c>
      <c r="F30" s="295">
        <v>6</v>
      </c>
      <c r="G30" s="269" t="s">
        <v>151</v>
      </c>
      <c r="H30" s="269" t="s">
        <v>152</v>
      </c>
      <c r="I30" s="761">
        <f>O27+O29</f>
        <v>11618</v>
      </c>
      <c r="J30" s="762"/>
      <c r="K30" s="269"/>
      <c r="L30" s="296"/>
      <c r="M30" s="269"/>
      <c r="N30" s="296"/>
      <c r="O30" s="290">
        <f>(I30)*F30/100</f>
        <v>697.08</v>
      </c>
    </row>
    <row r="31" spans="1:15" ht="12.75">
      <c r="A31" s="233"/>
      <c r="B31" s="297"/>
      <c r="C31" s="298"/>
      <c r="D31" s="298"/>
      <c r="E31" s="299"/>
      <c r="F31" s="269"/>
      <c r="G31" s="269"/>
      <c r="H31" s="269"/>
      <c r="I31" s="269"/>
      <c r="J31" s="269"/>
      <c r="K31" s="269"/>
      <c r="L31" s="269"/>
      <c r="M31" s="269"/>
      <c r="N31" s="270" t="s">
        <v>155</v>
      </c>
      <c r="O31" s="290">
        <f>O26+O29+O30</f>
        <v>14876.25</v>
      </c>
    </row>
    <row r="32" spans="1:15" ht="63.75">
      <c r="A32" s="233"/>
      <c r="B32" s="300">
        <v>6</v>
      </c>
      <c r="C32" s="763" t="s">
        <v>156</v>
      </c>
      <c r="D32" s="764"/>
      <c r="E32" s="301" t="s">
        <v>157</v>
      </c>
      <c r="F32" s="765">
        <f>O31</f>
        <v>14876.25</v>
      </c>
      <c r="G32" s="766"/>
      <c r="H32" s="767"/>
      <c r="I32" s="269"/>
      <c r="J32" s="269"/>
      <c r="K32" s="269" t="s">
        <v>141</v>
      </c>
      <c r="L32" s="303">
        <v>3.9</v>
      </c>
      <c r="M32" s="269"/>
      <c r="N32" s="269"/>
      <c r="O32" s="290">
        <f>F32*L32</f>
        <v>58017.38</v>
      </c>
    </row>
    <row r="33" spans="1:15" ht="12.75">
      <c r="A33" s="233"/>
      <c r="B33" s="755"/>
      <c r="C33" s="756"/>
      <c r="D33" s="756"/>
      <c r="E33" s="756"/>
      <c r="F33" s="756"/>
      <c r="G33" s="304"/>
      <c r="H33" s="302"/>
      <c r="I33" s="287"/>
      <c r="J33" s="757" t="s">
        <v>158</v>
      </c>
      <c r="K33" s="757"/>
      <c r="L33" s="757"/>
      <c r="M33" s="757"/>
      <c r="N33" s="758"/>
      <c r="O33" s="290">
        <f>O32</f>
        <v>58017.38</v>
      </c>
    </row>
    <row r="34" spans="1:15" ht="12.75">
      <c r="A34" s="233"/>
      <c r="B34" s="305"/>
      <c r="C34" s="306" t="s">
        <v>22</v>
      </c>
      <c r="D34" s="307"/>
      <c r="E34" s="308">
        <v>1</v>
      </c>
      <c r="F34" s="309"/>
      <c r="G34" s="310"/>
      <c r="H34" s="310"/>
      <c r="I34" s="311"/>
      <c r="J34" s="311"/>
      <c r="K34" s="311"/>
      <c r="L34" s="311"/>
      <c r="M34" s="311"/>
      <c r="N34" s="312"/>
      <c r="O34" s="313">
        <f>ROUND(O33*E34,2)</f>
        <v>58017.38</v>
      </c>
    </row>
    <row r="35" spans="1:15" ht="12.75">
      <c r="A35" s="233"/>
      <c r="B35" s="755"/>
      <c r="C35" s="756"/>
      <c r="D35" s="756"/>
      <c r="E35" s="756"/>
      <c r="F35" s="756"/>
      <c r="G35" s="304"/>
      <c r="H35" s="302"/>
      <c r="I35" s="287"/>
      <c r="J35" s="757" t="s">
        <v>159</v>
      </c>
      <c r="K35" s="757"/>
      <c r="L35" s="757"/>
      <c r="M35" s="757"/>
      <c r="N35" s="758"/>
      <c r="O35" s="290">
        <f>O34*18%</f>
        <v>10443.13</v>
      </c>
    </row>
    <row r="36" spans="1:15" ht="12.75">
      <c r="A36" s="233"/>
      <c r="B36" s="755"/>
      <c r="C36" s="756"/>
      <c r="D36" s="756"/>
      <c r="E36" s="756"/>
      <c r="F36" s="756"/>
      <c r="G36" s="304"/>
      <c r="H36" s="759" t="s">
        <v>160</v>
      </c>
      <c r="I36" s="759"/>
      <c r="J36" s="759"/>
      <c r="K36" s="759"/>
      <c r="L36" s="759"/>
      <c r="M36" s="759"/>
      <c r="N36" s="760"/>
      <c r="O36" s="290">
        <f>O34+O35</f>
        <v>68460.51</v>
      </c>
    </row>
    <row r="37" spans="1:15" ht="12.75">
      <c r="A37" s="233"/>
      <c r="B37" s="314"/>
      <c r="C37" s="315" t="s">
        <v>322</v>
      </c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6"/>
      <c r="O37" s="317">
        <f>O36</f>
        <v>68460.51</v>
      </c>
    </row>
    <row r="41" spans="3:5" ht="15">
      <c r="C41" s="561" t="s">
        <v>274</v>
      </c>
      <c r="D41" s="560"/>
      <c r="E41" s="560" t="s">
        <v>275</v>
      </c>
    </row>
    <row r="42" spans="3:5" ht="15">
      <c r="C42" s="439"/>
      <c r="D42" s="560"/>
      <c r="E42" s="560"/>
    </row>
    <row r="43" spans="3:5" ht="15">
      <c r="C43" s="439"/>
      <c r="D43" s="560"/>
      <c r="E43" s="560"/>
    </row>
    <row r="44" spans="3:5" ht="15">
      <c r="C44" s="562" t="s">
        <v>276</v>
      </c>
      <c r="D44" s="560"/>
      <c r="E44" s="560" t="s">
        <v>275</v>
      </c>
    </row>
  </sheetData>
  <sheetProtection/>
  <mergeCells count="34">
    <mergeCell ref="B35:F35"/>
    <mergeCell ref="J35:N35"/>
    <mergeCell ref="B36:F36"/>
    <mergeCell ref="H36:N36"/>
    <mergeCell ref="I29:J29"/>
    <mergeCell ref="I30:J30"/>
    <mergeCell ref="C32:D32"/>
    <mergeCell ref="F32:H32"/>
    <mergeCell ref="B33:F33"/>
    <mergeCell ref="J33:N33"/>
    <mergeCell ref="F13:N13"/>
    <mergeCell ref="B17:O17"/>
    <mergeCell ref="B18:B25"/>
    <mergeCell ref="C18:C20"/>
    <mergeCell ref="E18:E25"/>
    <mergeCell ref="F18:N18"/>
    <mergeCell ref="F22:N22"/>
    <mergeCell ref="C7:N7"/>
    <mergeCell ref="C8:N8"/>
    <mergeCell ref="A9:O9"/>
    <mergeCell ref="C10:L10"/>
    <mergeCell ref="B11:B12"/>
    <mergeCell ref="C11:C12"/>
    <mergeCell ref="D11:D12"/>
    <mergeCell ref="E11:E12"/>
    <mergeCell ref="F11:N12"/>
    <mergeCell ref="O11:O12"/>
    <mergeCell ref="B3:C3"/>
    <mergeCell ref="B4:D4"/>
    <mergeCell ref="F4:O4"/>
    <mergeCell ref="B5:C5"/>
    <mergeCell ref="F5:O5"/>
    <mergeCell ref="B6:C6"/>
    <mergeCell ref="F6:O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34">
      <selection activeCell="A3" sqref="A3:N7"/>
    </sheetView>
  </sheetViews>
  <sheetFormatPr defaultColWidth="9.00390625" defaultRowHeight="12.75"/>
  <cols>
    <col min="1" max="1" width="4.375" style="0" customWidth="1"/>
    <col min="2" max="2" width="39.00390625" style="0" customWidth="1"/>
    <col min="3" max="3" width="14.00390625" style="0" customWidth="1"/>
    <col min="4" max="4" width="19.75390625" style="0" customWidth="1"/>
    <col min="5" max="5" width="5.125" style="0" customWidth="1"/>
    <col min="6" max="6" width="1.75390625" style="0" customWidth="1"/>
    <col min="7" max="7" width="5.125" style="0" customWidth="1"/>
    <col min="8" max="8" width="2.125" style="0" customWidth="1"/>
    <col min="9" max="9" width="6.25390625" style="0" customWidth="1"/>
    <col min="10" max="10" width="1.75390625" style="0" customWidth="1"/>
    <col min="11" max="11" width="3.125" style="0" customWidth="1"/>
    <col min="12" max="12" width="1.37890625" style="0" customWidth="1"/>
    <col min="13" max="13" width="11.125" style="0" customWidth="1"/>
    <col min="14" max="14" width="14.00390625" style="0" customWidth="1"/>
  </cols>
  <sheetData>
    <row r="1" spans="1:14" ht="12.75">
      <c r="A1" s="318"/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</row>
    <row r="2" spans="1:14" ht="12.75">
      <c r="A2" s="318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</row>
    <row r="3" spans="1:14" ht="15.75">
      <c r="A3" s="726" t="s">
        <v>74</v>
      </c>
      <c r="B3" s="726"/>
      <c r="C3" s="235"/>
      <c r="D3" s="235"/>
      <c r="E3" s="236" t="s">
        <v>75</v>
      </c>
      <c r="F3" s="236"/>
      <c r="G3" s="237"/>
      <c r="H3" s="237"/>
      <c r="I3" s="237"/>
      <c r="J3" s="237"/>
      <c r="K3" s="237"/>
      <c r="L3" s="237"/>
      <c r="M3" s="237"/>
      <c r="N3" s="237"/>
    </row>
    <row r="4" spans="1:14" ht="15.75">
      <c r="A4" s="727"/>
      <c r="B4" s="727"/>
      <c r="C4" s="727"/>
      <c r="D4" s="235"/>
      <c r="E4" s="728"/>
      <c r="F4" s="728"/>
      <c r="G4" s="728"/>
      <c r="H4" s="728"/>
      <c r="I4" s="728"/>
      <c r="J4" s="728"/>
      <c r="K4" s="728"/>
      <c r="L4" s="728"/>
      <c r="M4" s="728"/>
      <c r="N4" s="728"/>
    </row>
    <row r="5" spans="1:14" ht="15.75">
      <c r="A5" s="726" t="s">
        <v>126</v>
      </c>
      <c r="B5" s="726"/>
      <c r="C5" s="235"/>
      <c r="D5" s="235"/>
      <c r="E5" s="726" t="s">
        <v>127</v>
      </c>
      <c r="F5" s="726"/>
      <c r="G5" s="726"/>
      <c r="H5" s="726"/>
      <c r="I5" s="726"/>
      <c r="J5" s="726"/>
      <c r="K5" s="726"/>
      <c r="L5" s="726"/>
      <c r="M5" s="726"/>
      <c r="N5" s="726"/>
    </row>
    <row r="6" spans="1:14" ht="15.75">
      <c r="A6" s="726" t="s">
        <v>128</v>
      </c>
      <c r="B6" s="726"/>
      <c r="C6" s="320"/>
      <c r="D6" s="320"/>
      <c r="E6" s="726" t="s">
        <v>128</v>
      </c>
      <c r="F6" s="726"/>
      <c r="G6" s="726"/>
      <c r="H6" s="726"/>
      <c r="I6" s="726"/>
      <c r="J6" s="726"/>
      <c r="K6" s="726"/>
      <c r="L6" s="726"/>
      <c r="M6" s="726"/>
      <c r="N6" s="726"/>
    </row>
    <row r="7" spans="1:14" ht="17.25">
      <c r="A7" s="321"/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3"/>
    </row>
    <row r="8" spans="1:14" ht="12.75">
      <c r="A8" s="324"/>
      <c r="B8" s="768" t="s">
        <v>325</v>
      </c>
      <c r="C8" s="768"/>
      <c r="D8" s="768"/>
      <c r="E8" s="768"/>
      <c r="F8" s="768"/>
      <c r="G8" s="768"/>
      <c r="H8" s="768"/>
      <c r="I8" s="768"/>
      <c r="J8" s="768"/>
      <c r="K8" s="768"/>
      <c r="L8" s="768"/>
      <c r="M8" s="768"/>
      <c r="N8" s="768"/>
    </row>
    <row r="9" spans="1:14" ht="12.75">
      <c r="A9" s="324"/>
      <c r="B9" s="768"/>
      <c r="C9" s="768"/>
      <c r="D9" s="768"/>
      <c r="E9" s="768"/>
      <c r="F9" s="768"/>
      <c r="G9" s="768"/>
      <c r="H9" s="768"/>
      <c r="I9" s="768"/>
      <c r="J9" s="768"/>
      <c r="K9" s="768"/>
      <c r="L9" s="768"/>
      <c r="M9" s="768"/>
      <c r="N9" s="768"/>
    </row>
    <row r="10" spans="1:14" ht="12.75">
      <c r="A10" s="324"/>
      <c r="B10" s="769"/>
      <c r="C10" s="769"/>
      <c r="D10" s="769"/>
      <c r="E10" s="769"/>
      <c r="F10" s="769"/>
      <c r="G10" s="769"/>
      <c r="H10" s="769"/>
      <c r="I10" s="769"/>
      <c r="J10" s="769"/>
      <c r="K10" s="769"/>
      <c r="L10" s="769"/>
      <c r="M10" s="769"/>
      <c r="N10" s="769"/>
    </row>
    <row r="11" spans="1:14" ht="12.75">
      <c r="A11" s="770" t="s">
        <v>30</v>
      </c>
      <c r="B11" s="770" t="s">
        <v>133</v>
      </c>
      <c r="C11" s="770" t="s">
        <v>161</v>
      </c>
      <c r="D11" s="770" t="s">
        <v>162</v>
      </c>
      <c r="E11" s="771"/>
      <c r="F11" s="772"/>
      <c r="G11" s="772"/>
      <c r="H11" s="772"/>
      <c r="I11" s="772"/>
      <c r="J11" s="772"/>
      <c r="K11" s="772"/>
      <c r="L11" s="773"/>
      <c r="M11" s="770" t="s">
        <v>33</v>
      </c>
      <c r="N11" s="770"/>
    </row>
    <row r="12" spans="1:14" ht="12.75">
      <c r="A12" s="770"/>
      <c r="B12" s="770"/>
      <c r="C12" s="770"/>
      <c r="D12" s="770"/>
      <c r="E12" s="774"/>
      <c r="F12" s="769"/>
      <c r="G12" s="769"/>
      <c r="H12" s="769"/>
      <c r="I12" s="769"/>
      <c r="J12" s="769"/>
      <c r="K12" s="769"/>
      <c r="L12" s="775"/>
      <c r="M12" s="770">
        <v>44.19</v>
      </c>
      <c r="N12" s="770"/>
    </row>
    <row r="13" spans="1:14" ht="12.75">
      <c r="A13" s="770"/>
      <c r="B13" s="770"/>
      <c r="C13" s="770"/>
      <c r="D13" s="770"/>
      <c r="E13" s="776"/>
      <c r="F13" s="777"/>
      <c r="G13" s="777"/>
      <c r="H13" s="777"/>
      <c r="I13" s="777"/>
      <c r="J13" s="777"/>
      <c r="K13" s="777"/>
      <c r="L13" s="778"/>
      <c r="M13" s="325" t="s">
        <v>163</v>
      </c>
      <c r="N13" s="325" t="s">
        <v>164</v>
      </c>
    </row>
    <row r="14" spans="1:14" ht="12.75">
      <c r="A14" s="326"/>
      <c r="B14" s="770" t="s">
        <v>165</v>
      </c>
      <c r="C14" s="770"/>
      <c r="D14" s="770"/>
      <c r="E14" s="770"/>
      <c r="F14" s="770"/>
      <c r="G14" s="770"/>
      <c r="H14" s="770"/>
      <c r="I14" s="770"/>
      <c r="J14" s="770"/>
      <c r="K14" s="770"/>
      <c r="L14" s="770"/>
      <c r="M14" s="770"/>
      <c r="N14" s="770"/>
    </row>
    <row r="15" spans="1:14" ht="12.75">
      <c r="A15" s="779" t="s">
        <v>166</v>
      </c>
      <c r="B15" s="780"/>
      <c r="C15" s="780"/>
      <c r="D15" s="780"/>
      <c r="E15" s="780"/>
      <c r="F15" s="780"/>
      <c r="G15" s="780"/>
      <c r="H15" s="780"/>
      <c r="I15" s="780"/>
      <c r="J15" s="780"/>
      <c r="K15" s="780"/>
      <c r="L15" s="780"/>
      <c r="M15" s="780"/>
      <c r="N15" s="780"/>
    </row>
    <row r="16" spans="1:14" ht="12.75">
      <c r="A16" s="327"/>
      <c r="B16" s="739" t="s">
        <v>26</v>
      </c>
      <c r="C16" s="739"/>
      <c r="D16" s="328"/>
      <c r="E16" s="328"/>
      <c r="F16" s="328"/>
      <c r="G16" s="328"/>
      <c r="H16" s="328"/>
      <c r="I16" s="328"/>
      <c r="J16" s="328"/>
      <c r="K16" s="328"/>
      <c r="L16" s="328"/>
      <c r="M16" s="328"/>
      <c r="N16" s="329"/>
    </row>
    <row r="17" spans="1:14" ht="12.75">
      <c r="A17" s="330"/>
      <c r="B17" s="331" t="s">
        <v>167</v>
      </c>
      <c r="C17" s="332">
        <v>1</v>
      </c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33"/>
    </row>
    <row r="18" spans="1:14" ht="12.75">
      <c r="A18" s="330"/>
      <c r="B18" s="331" t="s">
        <v>168</v>
      </c>
      <c r="C18" s="334">
        <f>M12</f>
        <v>44.19</v>
      </c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333"/>
    </row>
    <row r="19" spans="1:14" ht="12.75">
      <c r="A19" s="335"/>
      <c r="B19" s="331" t="s">
        <v>169</v>
      </c>
      <c r="C19" s="334">
        <v>5</v>
      </c>
      <c r="D19" s="328"/>
      <c r="E19" s="328"/>
      <c r="F19" s="328"/>
      <c r="G19" s="328"/>
      <c r="H19" s="328"/>
      <c r="I19" s="328"/>
      <c r="J19" s="328"/>
      <c r="K19" s="328"/>
      <c r="L19" s="328"/>
      <c r="M19" s="328"/>
      <c r="N19" s="333"/>
    </row>
    <row r="20" spans="1:14" ht="12.75">
      <c r="A20" s="335"/>
      <c r="B20" s="336" t="s">
        <v>170</v>
      </c>
      <c r="C20" s="334">
        <v>10</v>
      </c>
      <c r="D20" s="328"/>
      <c r="E20" s="328"/>
      <c r="F20" s="328"/>
      <c r="G20" s="328"/>
      <c r="H20" s="328"/>
      <c r="I20" s="328"/>
      <c r="J20" s="328"/>
      <c r="K20" s="328"/>
      <c r="L20" s="328"/>
      <c r="M20" s="328"/>
      <c r="N20" s="333"/>
    </row>
    <row r="21" spans="1:14" ht="12.75">
      <c r="A21" s="335"/>
      <c r="B21" s="337" t="s">
        <v>171</v>
      </c>
      <c r="C21" s="334">
        <f>C19</f>
        <v>5</v>
      </c>
      <c r="D21" s="328"/>
      <c r="E21" s="328"/>
      <c r="F21" s="328"/>
      <c r="G21" s="328"/>
      <c r="H21" s="328"/>
      <c r="I21" s="328"/>
      <c r="J21" s="328"/>
      <c r="K21" s="328"/>
      <c r="L21" s="328"/>
      <c r="M21" s="328"/>
      <c r="N21" s="333"/>
    </row>
    <row r="22" spans="1:14" ht="12.75">
      <c r="A22" s="335"/>
      <c r="B22" s="338" t="s">
        <v>172</v>
      </c>
      <c r="C22" s="334">
        <f>C19*C20</f>
        <v>50</v>
      </c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39"/>
    </row>
    <row r="23" spans="1:14" ht="12.75">
      <c r="A23" s="781" t="s">
        <v>173</v>
      </c>
      <c r="B23" s="782"/>
      <c r="C23" s="782"/>
      <c r="D23" s="782"/>
      <c r="E23" s="782"/>
      <c r="F23" s="782"/>
      <c r="G23" s="782"/>
      <c r="H23" s="782"/>
      <c r="I23" s="782"/>
      <c r="J23" s="782"/>
      <c r="K23" s="782"/>
      <c r="L23" s="782"/>
      <c r="M23" s="782"/>
      <c r="N23" s="782"/>
    </row>
    <row r="24" spans="1:14" ht="63.75">
      <c r="A24" s="340">
        <v>1</v>
      </c>
      <c r="B24" s="341" t="s">
        <v>174</v>
      </c>
      <c r="C24" s="342" t="s">
        <v>175</v>
      </c>
      <c r="D24" s="343"/>
      <c r="E24" s="340">
        <f>18.4</f>
        <v>18.4</v>
      </c>
      <c r="F24" s="344" t="s">
        <v>12</v>
      </c>
      <c r="G24" s="344">
        <f>C21</f>
        <v>5</v>
      </c>
      <c r="H24" s="344" t="s">
        <v>12</v>
      </c>
      <c r="I24" s="344">
        <v>0.5</v>
      </c>
      <c r="J24" s="344"/>
      <c r="K24" s="344"/>
      <c r="L24" s="345"/>
      <c r="M24" s="344">
        <f>E24*0.5*C21</f>
        <v>46</v>
      </c>
      <c r="N24" s="343">
        <f>ROUND((M24*$M$12),2)</f>
        <v>2032.74</v>
      </c>
    </row>
    <row r="25" spans="1:14" ht="12.75">
      <c r="A25" s="346"/>
      <c r="B25" s="347">
        <f>C21</f>
        <v>5</v>
      </c>
      <c r="C25" s="348"/>
      <c r="D25" s="349"/>
      <c r="E25" s="346"/>
      <c r="F25" s="350"/>
      <c r="G25" s="350"/>
      <c r="H25" s="350"/>
      <c r="I25" s="350"/>
      <c r="J25" s="350"/>
      <c r="K25" s="350"/>
      <c r="L25" s="351"/>
      <c r="M25" s="350"/>
      <c r="N25" s="349"/>
    </row>
    <row r="26" spans="1:14" ht="25.5">
      <c r="A26" s="349">
        <v>2</v>
      </c>
      <c r="B26" s="347" t="s">
        <v>176</v>
      </c>
      <c r="C26" s="347" t="s">
        <v>177</v>
      </c>
      <c r="D26" s="346"/>
      <c r="E26" s="352">
        <f>E24</f>
        <v>18.4</v>
      </c>
      <c r="F26" s="353" t="s">
        <v>12</v>
      </c>
      <c r="G26" s="353">
        <f>C21</f>
        <v>5</v>
      </c>
      <c r="H26" s="353"/>
      <c r="I26" s="353"/>
      <c r="J26" s="353"/>
      <c r="K26" s="353"/>
      <c r="L26" s="354"/>
      <c r="M26" s="351">
        <f>E26*G26</f>
        <v>92</v>
      </c>
      <c r="N26" s="349">
        <f>ROUND((M26*$M$12),2)</f>
        <v>4065.48</v>
      </c>
    </row>
    <row r="27" spans="1:14" ht="25.5">
      <c r="A27" s="343">
        <v>3</v>
      </c>
      <c r="B27" s="355" t="s">
        <v>178</v>
      </c>
      <c r="C27" s="335" t="s">
        <v>179</v>
      </c>
      <c r="D27" s="356"/>
      <c r="E27" s="356">
        <f>C22</f>
        <v>50</v>
      </c>
      <c r="F27" s="357" t="s">
        <v>12</v>
      </c>
      <c r="G27" s="357">
        <v>38.4</v>
      </c>
      <c r="H27" s="357"/>
      <c r="I27" s="357"/>
      <c r="J27" s="357"/>
      <c r="K27" s="357"/>
      <c r="L27" s="358"/>
      <c r="M27" s="359">
        <f>C22*G27</f>
        <v>1920</v>
      </c>
      <c r="N27" s="343">
        <f>ROUND((M27*$M$12),2)</f>
        <v>84844.8</v>
      </c>
    </row>
    <row r="28" spans="1:14" ht="25.5">
      <c r="A28" s="340">
        <v>4</v>
      </c>
      <c r="B28" s="355" t="s">
        <v>180</v>
      </c>
      <c r="C28" s="357" t="s">
        <v>181</v>
      </c>
      <c r="D28" s="335"/>
      <c r="E28" s="357">
        <f>22.9</f>
        <v>22.9</v>
      </c>
      <c r="F28" s="357" t="s">
        <v>12</v>
      </c>
      <c r="G28" s="357">
        <f>B29</f>
        <v>25</v>
      </c>
      <c r="H28" s="357"/>
      <c r="I28" s="357"/>
      <c r="J28" s="357"/>
      <c r="K28" s="357"/>
      <c r="L28" s="357"/>
      <c r="M28" s="360">
        <f>22.9*35</f>
        <v>801.5</v>
      </c>
      <c r="N28" s="345">
        <f>ROUND((M28*$M$12),2)</f>
        <v>35418.29</v>
      </c>
    </row>
    <row r="29" spans="1:14" ht="12.75">
      <c r="A29" s="346"/>
      <c r="B29" s="361">
        <f>ROUND(C22/2,0)</f>
        <v>25</v>
      </c>
      <c r="C29" s="362"/>
      <c r="D29" s="327"/>
      <c r="E29" s="362"/>
      <c r="F29" s="362"/>
      <c r="G29" s="362"/>
      <c r="H29" s="362"/>
      <c r="I29" s="362"/>
      <c r="J29" s="362"/>
      <c r="K29" s="362"/>
      <c r="L29" s="362"/>
      <c r="M29" s="363"/>
      <c r="N29" s="351"/>
    </row>
    <row r="30" spans="1:14" ht="12.75">
      <c r="A30" s="349">
        <v>6</v>
      </c>
      <c r="B30" s="783" t="s">
        <v>182</v>
      </c>
      <c r="C30" s="783"/>
      <c r="D30" s="784"/>
      <c r="E30" s="364"/>
      <c r="F30" s="365"/>
      <c r="G30" s="365"/>
      <c r="H30" s="365"/>
      <c r="I30" s="365"/>
      <c r="J30" s="365"/>
      <c r="K30" s="365"/>
      <c r="L30" s="366"/>
      <c r="M30" s="367">
        <f>SUM(M24:M29)</f>
        <v>2859.5</v>
      </c>
      <c r="N30" s="368">
        <f>SUM(N24:N29)</f>
        <v>126361.31</v>
      </c>
    </row>
    <row r="31" spans="1:14" ht="25.5">
      <c r="A31" s="326">
        <v>7</v>
      </c>
      <c r="B31" s="369" t="s">
        <v>183</v>
      </c>
      <c r="C31" s="327" t="s">
        <v>184</v>
      </c>
      <c r="D31" s="370" t="s">
        <v>185</v>
      </c>
      <c r="E31" s="785">
        <f>M30</f>
        <v>2859.5</v>
      </c>
      <c r="F31" s="786"/>
      <c r="G31" s="786"/>
      <c r="H31" s="371" t="s">
        <v>12</v>
      </c>
      <c r="I31" s="371">
        <v>0.875</v>
      </c>
      <c r="J31" s="371"/>
      <c r="K31" s="371"/>
      <c r="L31" s="372"/>
      <c r="M31" s="373">
        <f>M30*I31</f>
        <v>2502.06</v>
      </c>
      <c r="N31" s="327">
        <f>ROUND((M31*$M$12),2)</f>
        <v>110566.03</v>
      </c>
    </row>
    <row r="32" spans="1:14" ht="38.25">
      <c r="A32" s="326">
        <v>8</v>
      </c>
      <c r="B32" s="374" t="s">
        <v>186</v>
      </c>
      <c r="C32" s="375" t="s">
        <v>187</v>
      </c>
      <c r="D32" s="376" t="s">
        <v>188</v>
      </c>
      <c r="E32" s="787">
        <f>M30+M31</f>
        <v>5361.56</v>
      </c>
      <c r="F32" s="788"/>
      <c r="G32" s="788"/>
      <c r="H32" s="377" t="s">
        <v>12</v>
      </c>
      <c r="I32" s="377">
        <v>0.06</v>
      </c>
      <c r="J32" s="377"/>
      <c r="K32" s="377"/>
      <c r="L32" s="378"/>
      <c r="M32" s="379">
        <f>(M30+M31)*0.06</f>
        <v>321.69</v>
      </c>
      <c r="N32" s="330">
        <f>ROUND((M32*$M$12),2)</f>
        <v>14215.48</v>
      </c>
    </row>
    <row r="33" spans="1:14" ht="12.75">
      <c r="A33" s="326">
        <v>9</v>
      </c>
      <c r="B33" s="789" t="s">
        <v>182</v>
      </c>
      <c r="C33" s="789"/>
      <c r="D33" s="790"/>
      <c r="E33" s="380"/>
      <c r="F33" s="381"/>
      <c r="G33" s="381"/>
      <c r="H33" s="381"/>
      <c r="I33" s="381"/>
      <c r="J33" s="381"/>
      <c r="K33" s="381"/>
      <c r="L33" s="382"/>
      <c r="M33" s="383">
        <f>SUM(M30:M32)</f>
        <v>5683.25</v>
      </c>
      <c r="N33" s="384">
        <f>SUM(N30:N32)</f>
        <v>251142.82</v>
      </c>
    </row>
    <row r="34" spans="1:14" ht="12.75">
      <c r="A34" s="326">
        <v>10</v>
      </c>
      <c r="B34" s="770" t="s">
        <v>189</v>
      </c>
      <c r="C34" s="770"/>
      <c r="D34" s="770"/>
      <c r="E34" s="791"/>
      <c r="F34" s="791"/>
      <c r="G34" s="791"/>
      <c r="H34" s="791"/>
      <c r="I34" s="791"/>
      <c r="J34" s="791"/>
      <c r="K34" s="791"/>
      <c r="L34" s="791"/>
      <c r="M34" s="770"/>
      <c r="N34" s="770"/>
    </row>
    <row r="35" spans="1:14" ht="25.5">
      <c r="A35" s="326">
        <v>11</v>
      </c>
      <c r="B35" s="385" t="s">
        <v>190</v>
      </c>
      <c r="C35" s="330" t="s">
        <v>191</v>
      </c>
      <c r="D35" s="386"/>
      <c r="E35" s="356">
        <f>C21</f>
        <v>5</v>
      </c>
      <c r="F35" s="357" t="s">
        <v>12</v>
      </c>
      <c r="G35" s="792">
        <v>220.2</v>
      </c>
      <c r="H35" s="792"/>
      <c r="I35" s="357"/>
      <c r="J35" s="357"/>
      <c r="K35" s="357"/>
      <c r="L35" s="358"/>
      <c r="M35" s="387">
        <f>E35*G35</f>
        <v>1101</v>
      </c>
      <c r="N35" s="326">
        <f>ROUND((M35*$M$12),2)</f>
        <v>48653.19</v>
      </c>
    </row>
    <row r="36" spans="1:14" ht="25.5">
      <c r="A36" s="326">
        <v>12</v>
      </c>
      <c r="B36" s="385" t="s">
        <v>192</v>
      </c>
      <c r="C36" s="330" t="s">
        <v>193</v>
      </c>
      <c r="D36" s="386"/>
      <c r="E36" s="386">
        <f>C21</f>
        <v>5</v>
      </c>
      <c r="F36" s="388" t="s">
        <v>12</v>
      </c>
      <c r="G36" s="388">
        <v>48.4</v>
      </c>
      <c r="H36" s="389"/>
      <c r="I36" s="388"/>
      <c r="J36" s="388"/>
      <c r="K36" s="388"/>
      <c r="L36" s="390"/>
      <c r="M36" s="387">
        <f>E36*G36</f>
        <v>242</v>
      </c>
      <c r="N36" s="326">
        <f>ROUND((M36*$M$12),2)</f>
        <v>10693.98</v>
      </c>
    </row>
    <row r="37" spans="1:14" ht="25.5">
      <c r="A37" s="326">
        <v>13</v>
      </c>
      <c r="B37" s="391" t="s">
        <v>194</v>
      </c>
      <c r="C37" s="391" t="s">
        <v>195</v>
      </c>
      <c r="D37" s="392"/>
      <c r="E37" s="393">
        <f>C21</f>
        <v>5</v>
      </c>
      <c r="F37" s="394" t="s">
        <v>12</v>
      </c>
      <c r="G37" s="394">
        <v>25.4</v>
      </c>
      <c r="H37" s="394"/>
      <c r="I37" s="394"/>
      <c r="J37" s="394"/>
      <c r="K37" s="394"/>
      <c r="L37" s="395"/>
      <c r="M37" s="387">
        <f>E37*G37</f>
        <v>127</v>
      </c>
      <c r="N37" s="326">
        <f>ROUND((M37*$M$12),2)</f>
        <v>5612.13</v>
      </c>
    </row>
    <row r="38" spans="1:14" ht="12.75">
      <c r="A38" s="326">
        <v>14</v>
      </c>
      <c r="B38" s="783" t="s">
        <v>196</v>
      </c>
      <c r="C38" s="783"/>
      <c r="D38" s="784"/>
      <c r="E38" s="365"/>
      <c r="F38" s="365"/>
      <c r="G38" s="365"/>
      <c r="H38" s="365"/>
      <c r="I38" s="365"/>
      <c r="J38" s="365"/>
      <c r="K38" s="365"/>
      <c r="L38" s="365"/>
      <c r="M38" s="396">
        <f>SUM(M35:M37)</f>
        <v>1470</v>
      </c>
      <c r="N38" s="397">
        <f>SUM(N35:N37)</f>
        <v>64959.3</v>
      </c>
    </row>
    <row r="39" spans="1:14" ht="12.75">
      <c r="A39" s="326">
        <v>15</v>
      </c>
      <c r="B39" s="793" t="s">
        <v>197</v>
      </c>
      <c r="C39" s="793"/>
      <c r="D39" s="793"/>
      <c r="E39" s="794"/>
      <c r="F39" s="794"/>
      <c r="G39" s="794"/>
      <c r="H39" s="794"/>
      <c r="I39" s="794"/>
      <c r="J39" s="794"/>
      <c r="K39" s="794"/>
      <c r="L39" s="794"/>
      <c r="M39" s="793"/>
      <c r="N39" s="793"/>
    </row>
    <row r="40" spans="1:14" ht="25.5">
      <c r="A40" s="326">
        <v>16</v>
      </c>
      <c r="B40" s="398" t="s">
        <v>198</v>
      </c>
      <c r="C40" s="399" t="s">
        <v>199</v>
      </c>
      <c r="D40" s="400"/>
      <c r="E40" s="401">
        <f>C22</f>
        <v>50</v>
      </c>
      <c r="F40" s="402" t="s">
        <v>12</v>
      </c>
      <c r="G40" s="402">
        <v>9</v>
      </c>
      <c r="H40" s="402"/>
      <c r="I40" s="402"/>
      <c r="J40" s="402"/>
      <c r="K40" s="402"/>
      <c r="L40" s="403"/>
      <c r="M40" s="404">
        <f>E40*9</f>
        <v>450</v>
      </c>
      <c r="N40" s="326">
        <f>ROUND((M40*$M$12),2)</f>
        <v>19885.5</v>
      </c>
    </row>
    <row r="41" spans="1:14" ht="12.75">
      <c r="A41" s="326">
        <v>17</v>
      </c>
      <c r="B41" s="405" t="s">
        <v>200</v>
      </c>
      <c r="C41" s="330" t="s">
        <v>201</v>
      </c>
      <c r="D41" s="406"/>
      <c r="E41" s="406">
        <f>E40</f>
        <v>50</v>
      </c>
      <c r="F41" s="407" t="s">
        <v>12</v>
      </c>
      <c r="G41" s="407">
        <v>8.2</v>
      </c>
      <c r="H41" s="407"/>
      <c r="I41" s="407"/>
      <c r="J41" s="407"/>
      <c r="K41" s="407"/>
      <c r="L41" s="408"/>
      <c r="M41" s="409">
        <f>E41*8.2</f>
        <v>410</v>
      </c>
      <c r="N41" s="326">
        <f>ROUND((M41*$M$12),2)</f>
        <v>18117.9</v>
      </c>
    </row>
    <row r="42" spans="1:14" ht="25.5">
      <c r="A42" s="326">
        <v>18</v>
      </c>
      <c r="B42" s="405" t="s">
        <v>202</v>
      </c>
      <c r="C42" s="410" t="s">
        <v>203</v>
      </c>
      <c r="D42" s="411"/>
      <c r="E42" s="796">
        <f>M38</f>
        <v>1470</v>
      </c>
      <c r="F42" s="797"/>
      <c r="G42" s="797"/>
      <c r="H42" s="412" t="s">
        <v>12</v>
      </c>
      <c r="I42" s="412">
        <v>0.2</v>
      </c>
      <c r="J42" s="412"/>
      <c r="K42" s="412"/>
      <c r="L42" s="413"/>
      <c r="M42" s="414">
        <f>E42*I42</f>
        <v>294</v>
      </c>
      <c r="N42" s="326">
        <f>ROUND((M42*$M$12),2)</f>
        <v>12991.86</v>
      </c>
    </row>
    <row r="43" spans="1:14" ht="12.75">
      <c r="A43" s="326">
        <v>19</v>
      </c>
      <c r="B43" s="783" t="s">
        <v>204</v>
      </c>
      <c r="C43" s="783"/>
      <c r="D43" s="784"/>
      <c r="E43" s="365"/>
      <c r="F43" s="365"/>
      <c r="G43" s="365"/>
      <c r="H43" s="365"/>
      <c r="I43" s="365"/>
      <c r="J43" s="365"/>
      <c r="K43" s="365"/>
      <c r="L43" s="365"/>
      <c r="M43" s="415">
        <f>SUM(M40:M42)</f>
        <v>1154</v>
      </c>
      <c r="N43" s="397">
        <f>SUM(N40:N42)</f>
        <v>50995.26</v>
      </c>
    </row>
    <row r="44" spans="1:14" ht="12.75">
      <c r="A44" s="326">
        <v>20</v>
      </c>
      <c r="B44" s="798" t="s">
        <v>205</v>
      </c>
      <c r="C44" s="798"/>
      <c r="D44" s="798"/>
      <c r="E44" s="791"/>
      <c r="F44" s="791"/>
      <c r="G44" s="791"/>
      <c r="H44" s="791"/>
      <c r="I44" s="791"/>
      <c r="J44" s="791"/>
      <c r="K44" s="791"/>
      <c r="L44" s="791"/>
      <c r="M44" s="798"/>
      <c r="N44" s="798"/>
    </row>
    <row r="45" spans="1:14" ht="25.5">
      <c r="A45" s="326">
        <v>21</v>
      </c>
      <c r="B45" s="405" t="s">
        <v>206</v>
      </c>
      <c r="C45" s="330" t="s">
        <v>207</v>
      </c>
      <c r="D45" s="416" t="s">
        <v>208</v>
      </c>
      <c r="E45" s="416">
        <f>500</f>
        <v>500</v>
      </c>
      <c r="F45" s="417" t="s">
        <v>12</v>
      </c>
      <c r="G45" s="417">
        <v>1.25</v>
      </c>
      <c r="H45" s="417"/>
      <c r="I45" s="417"/>
      <c r="J45" s="417"/>
      <c r="K45" s="417"/>
      <c r="L45" s="418"/>
      <c r="M45" s="419">
        <f>500*1.25</f>
        <v>625</v>
      </c>
      <c r="N45" s="420">
        <f>ROUND((M45*$M$12),2)</f>
        <v>27618.75</v>
      </c>
    </row>
    <row r="46" spans="1:14" ht="12.75">
      <c r="A46" s="326">
        <v>22</v>
      </c>
      <c r="B46" s="405" t="s">
        <v>209</v>
      </c>
      <c r="C46" s="330" t="s">
        <v>210</v>
      </c>
      <c r="D46" s="386" t="s">
        <v>211</v>
      </c>
      <c r="E46" s="799">
        <f>M43</f>
        <v>1154</v>
      </c>
      <c r="F46" s="800"/>
      <c r="G46" s="800"/>
      <c r="H46" s="388" t="s">
        <v>12</v>
      </c>
      <c r="I46" s="388">
        <v>0.21</v>
      </c>
      <c r="J46" s="388"/>
      <c r="K46" s="388"/>
      <c r="L46" s="390"/>
      <c r="M46" s="419">
        <f>0.21*M43</f>
        <v>242.34</v>
      </c>
      <c r="N46" s="420">
        <f>ROUND((M46*M12),2)</f>
        <v>10709</v>
      </c>
    </row>
    <row r="47" spans="1:14" ht="12.75">
      <c r="A47" s="326">
        <v>23</v>
      </c>
      <c r="B47" s="783" t="s">
        <v>212</v>
      </c>
      <c r="C47" s="783"/>
      <c r="D47" s="784"/>
      <c r="E47" s="421"/>
      <c r="F47" s="422"/>
      <c r="G47" s="422"/>
      <c r="H47" s="422"/>
      <c r="I47" s="422"/>
      <c r="J47" s="422"/>
      <c r="K47" s="422"/>
      <c r="L47" s="423"/>
      <c r="M47" s="424">
        <f>M46+M45</f>
        <v>867.34</v>
      </c>
      <c r="N47" s="425">
        <f>N45+N46</f>
        <v>38327.75</v>
      </c>
    </row>
    <row r="48" spans="1:14" ht="12.75">
      <c r="A48" s="326">
        <v>24</v>
      </c>
      <c r="B48" s="799" t="s">
        <v>11</v>
      </c>
      <c r="C48" s="800"/>
      <c r="D48" s="800"/>
      <c r="E48" s="800"/>
      <c r="F48" s="800"/>
      <c r="G48" s="800"/>
      <c r="H48" s="800"/>
      <c r="I48" s="800"/>
      <c r="J48" s="800"/>
      <c r="K48" s="800"/>
      <c r="L48" s="801"/>
      <c r="M48" s="424">
        <f>M33+M38+M43+M47</f>
        <v>9174.59</v>
      </c>
      <c r="N48" s="424">
        <f>N33+N38+N43+N47</f>
        <v>405425.13</v>
      </c>
    </row>
    <row r="49" spans="1:14" ht="12.75">
      <c r="A49" s="326">
        <v>25</v>
      </c>
      <c r="B49" s="426" t="s">
        <v>22</v>
      </c>
      <c r="C49" s="426"/>
      <c r="D49" s="427">
        <v>1</v>
      </c>
      <c r="E49" s="428"/>
      <c r="F49" s="429"/>
      <c r="G49" s="429"/>
      <c r="H49" s="429"/>
      <c r="I49" s="429"/>
      <c r="J49" s="429"/>
      <c r="K49" s="429"/>
      <c r="L49" s="430"/>
      <c r="M49" s="431">
        <f>M48*D49</f>
        <v>9174.59</v>
      </c>
      <c r="N49" s="432">
        <f>ROUND((D49*N48),2)</f>
        <v>405425.13</v>
      </c>
    </row>
    <row r="50" spans="1:14" ht="12.75">
      <c r="A50" s="326">
        <v>26</v>
      </c>
      <c r="B50" s="405" t="s">
        <v>46</v>
      </c>
      <c r="C50" s="330"/>
      <c r="D50" s="386"/>
      <c r="E50" s="428"/>
      <c r="F50" s="429"/>
      <c r="G50" s="429"/>
      <c r="H50" s="429"/>
      <c r="I50" s="429"/>
      <c r="J50" s="429"/>
      <c r="K50" s="429"/>
      <c r="L50" s="430"/>
      <c r="M50" s="433"/>
      <c r="N50" s="434">
        <f>0.18*N49</f>
        <v>72976.52</v>
      </c>
    </row>
    <row r="51" spans="1:14" ht="12.75">
      <c r="A51" s="326">
        <v>27</v>
      </c>
      <c r="B51" s="784" t="s">
        <v>213</v>
      </c>
      <c r="C51" s="795"/>
      <c r="D51" s="795"/>
      <c r="E51" s="435"/>
      <c r="F51" s="436"/>
      <c r="G51" s="436"/>
      <c r="H51" s="436"/>
      <c r="I51" s="436"/>
      <c r="J51" s="436"/>
      <c r="K51" s="436"/>
      <c r="L51" s="437"/>
      <c r="M51" s="433"/>
      <c r="N51" s="425">
        <f>N50+N49</f>
        <v>478401.65</v>
      </c>
    </row>
    <row r="55" spans="2:4" ht="15">
      <c r="B55" s="561" t="s">
        <v>274</v>
      </c>
      <c r="C55" s="560"/>
      <c r="D55" s="560" t="s">
        <v>275</v>
      </c>
    </row>
    <row r="56" spans="2:4" ht="15">
      <c r="B56" s="439"/>
      <c r="C56" s="560"/>
      <c r="D56" s="560"/>
    </row>
    <row r="57" spans="2:4" ht="15">
      <c r="B57" s="439"/>
      <c r="C57" s="560"/>
      <c r="D57" s="560"/>
    </row>
    <row r="58" spans="2:4" ht="15">
      <c r="B58" s="562" t="s">
        <v>276</v>
      </c>
      <c r="C58" s="560"/>
      <c r="D58" s="560" t="s">
        <v>275</v>
      </c>
    </row>
  </sheetData>
  <sheetProtection/>
  <mergeCells count="34">
    <mergeCell ref="B51:D51"/>
    <mergeCell ref="E42:G42"/>
    <mergeCell ref="B43:D43"/>
    <mergeCell ref="B44:N44"/>
    <mergeCell ref="E46:G46"/>
    <mergeCell ref="B47:D47"/>
    <mergeCell ref="B48:L48"/>
    <mergeCell ref="E32:G32"/>
    <mergeCell ref="B33:D33"/>
    <mergeCell ref="B34:N34"/>
    <mergeCell ref="G35:H35"/>
    <mergeCell ref="B38:D38"/>
    <mergeCell ref="B39:N39"/>
    <mergeCell ref="B14:N14"/>
    <mergeCell ref="A15:N15"/>
    <mergeCell ref="B16:C16"/>
    <mergeCell ref="A23:N23"/>
    <mergeCell ref="B30:D30"/>
    <mergeCell ref="E31:G31"/>
    <mergeCell ref="B8:N10"/>
    <mergeCell ref="A11:A13"/>
    <mergeCell ref="B11:B13"/>
    <mergeCell ref="C11:C13"/>
    <mergeCell ref="D11:D13"/>
    <mergeCell ref="E11:L13"/>
    <mergeCell ref="M11:N11"/>
    <mergeCell ref="M12:N12"/>
    <mergeCell ref="A3:B3"/>
    <mergeCell ref="A4:C4"/>
    <mergeCell ref="E4:N4"/>
    <mergeCell ref="A5:B5"/>
    <mergeCell ref="E5:N5"/>
    <mergeCell ref="A6:B6"/>
    <mergeCell ref="E6:N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R71"/>
  <sheetViews>
    <sheetView zoomScaleSheetLayoutView="100" zoomScalePageLayoutView="0" workbookViewId="0" topLeftCell="A55">
      <selection activeCell="E26" sqref="E26:L26"/>
    </sheetView>
  </sheetViews>
  <sheetFormatPr defaultColWidth="9.00390625" defaultRowHeight="12.75"/>
  <cols>
    <col min="1" max="1" width="4.125" style="36" customWidth="1"/>
    <col min="2" max="2" width="35.00390625" style="36" customWidth="1"/>
    <col min="3" max="3" width="12.25390625" style="36" customWidth="1"/>
    <col min="4" max="4" width="6.875" style="36" customWidth="1"/>
    <col min="5" max="5" width="6.25390625" style="36" customWidth="1"/>
    <col min="6" max="6" width="6.375" style="36" customWidth="1"/>
    <col min="7" max="7" width="2.125" style="36" customWidth="1"/>
    <col min="8" max="8" width="5.375" style="36" customWidth="1"/>
    <col min="9" max="9" width="2.75390625" style="36" customWidth="1"/>
    <col min="10" max="10" width="8.25390625" style="36" customWidth="1"/>
    <col min="11" max="11" width="2.00390625" style="36" customWidth="1"/>
    <col min="12" max="12" width="5.00390625" style="36" customWidth="1"/>
    <col min="13" max="13" width="12.125" style="99" customWidth="1"/>
    <col min="14" max="15" width="9.125" style="36" customWidth="1"/>
    <col min="16" max="16" width="13.125" style="36" customWidth="1"/>
    <col min="17" max="16384" width="9.125" style="36" customWidth="1"/>
  </cols>
  <sheetData>
    <row r="1" spans="1:13" ht="12.75">
      <c r="A1" s="3"/>
      <c r="B1" s="3"/>
      <c r="C1" s="3"/>
      <c r="D1" s="3"/>
      <c r="E1" s="680"/>
      <c r="F1" s="680"/>
      <c r="G1" s="680"/>
      <c r="H1" s="680"/>
      <c r="I1" s="680"/>
      <c r="J1" s="680"/>
      <c r="K1" s="680"/>
      <c r="L1" s="680"/>
      <c r="M1" s="680"/>
    </row>
    <row r="2" spans="1:13" ht="12.75">
      <c r="A2" s="3"/>
      <c r="B2" s="3"/>
      <c r="C2" s="3"/>
      <c r="D2" s="3"/>
      <c r="E2" s="680"/>
      <c r="F2" s="680"/>
      <c r="G2" s="680"/>
      <c r="H2" s="680"/>
      <c r="I2" s="680"/>
      <c r="J2" s="680"/>
      <c r="K2" s="680"/>
      <c r="L2" s="680"/>
      <c r="M2" s="680"/>
    </row>
    <row r="3" spans="1:13" ht="12.75">
      <c r="A3" s="3"/>
      <c r="B3" s="3"/>
      <c r="C3" s="3"/>
      <c r="D3" s="3"/>
      <c r="E3" s="680"/>
      <c r="F3" s="680"/>
      <c r="G3" s="680"/>
      <c r="H3" s="680"/>
      <c r="I3" s="680"/>
      <c r="J3" s="680"/>
      <c r="K3" s="680"/>
      <c r="L3" s="680"/>
      <c r="M3" s="680"/>
    </row>
    <row r="4" spans="1:12" ht="12.75">
      <c r="A4" s="3"/>
      <c r="B4" s="3"/>
      <c r="C4" s="3"/>
      <c r="D4" s="3"/>
      <c r="E4" s="84"/>
      <c r="F4" s="84"/>
      <c r="G4" s="84"/>
      <c r="H4" s="84"/>
      <c r="I4" s="84"/>
      <c r="J4" s="3"/>
      <c r="K4" s="3"/>
      <c r="L4" s="3"/>
    </row>
    <row r="5" spans="1:12" ht="12.75">
      <c r="A5" s="3"/>
      <c r="B5" s="3" t="s">
        <v>74</v>
      </c>
      <c r="C5" s="3"/>
      <c r="D5" s="3"/>
      <c r="E5" s="679" t="s">
        <v>75</v>
      </c>
      <c r="F5" s="679"/>
      <c r="G5" s="679"/>
      <c r="H5" s="679"/>
      <c r="I5" s="679"/>
      <c r="J5" s="679"/>
      <c r="K5" s="679"/>
      <c r="L5" s="679"/>
    </row>
    <row r="6" spans="1:12" ht="12.75">
      <c r="A6" s="3"/>
      <c r="B6" s="3"/>
      <c r="C6" s="3"/>
      <c r="D6" s="3"/>
      <c r="E6" s="30"/>
      <c r="F6" s="30"/>
      <c r="G6" s="30"/>
      <c r="H6" s="30"/>
      <c r="I6" s="30"/>
      <c r="J6" s="30"/>
      <c r="K6" s="30"/>
      <c r="L6" s="30"/>
    </row>
    <row r="7" spans="1:12" ht="12.75">
      <c r="A7" s="3"/>
      <c r="B7" s="3"/>
      <c r="C7" s="3"/>
      <c r="D7" s="3"/>
      <c r="E7" s="30"/>
      <c r="F7" s="30"/>
      <c r="G7" s="30"/>
      <c r="H7" s="30"/>
      <c r="I7" s="30"/>
      <c r="J7" s="30"/>
      <c r="K7" s="30"/>
      <c r="L7" s="30"/>
    </row>
    <row r="8" spans="1:12" ht="27.75" customHeight="1">
      <c r="A8" s="3"/>
      <c r="B8" s="3" t="s">
        <v>109</v>
      </c>
      <c r="C8" s="3"/>
      <c r="D8" s="3"/>
      <c r="E8" s="30"/>
      <c r="F8" s="30"/>
      <c r="G8" s="30"/>
      <c r="H8" s="30"/>
      <c r="I8" s="30"/>
      <c r="J8" s="30"/>
      <c r="K8" s="30"/>
      <c r="L8" s="30"/>
    </row>
    <row r="9" spans="1:12" ht="22.5" customHeight="1">
      <c r="A9" s="3"/>
      <c r="B9" s="3" t="s">
        <v>121</v>
      </c>
      <c r="C9" s="3"/>
      <c r="D9" s="3"/>
      <c r="E9" s="30" t="s">
        <v>120</v>
      </c>
      <c r="F9" s="30"/>
      <c r="G9" s="30"/>
      <c r="H9" s="30"/>
      <c r="I9" s="30"/>
      <c r="J9" s="30"/>
      <c r="K9" s="30"/>
      <c r="L9" s="30"/>
    </row>
    <row r="10" ht="30" customHeight="1"/>
    <row r="11" spans="1:13" ht="12.75">
      <c r="A11" s="838" t="s">
        <v>25</v>
      </c>
      <c r="B11" s="838"/>
      <c r="C11" s="838"/>
      <c r="D11" s="838"/>
      <c r="E11" s="838"/>
      <c r="F11" s="838"/>
      <c r="G11" s="838"/>
      <c r="H11" s="838"/>
      <c r="I11" s="838"/>
      <c r="J11" s="838"/>
      <c r="K11" s="838"/>
      <c r="L11" s="838"/>
      <c r="M11" s="838"/>
    </row>
    <row r="12" spans="1:13" ht="12.75">
      <c r="A12" s="807" t="s">
        <v>29</v>
      </c>
      <c r="B12" s="807"/>
      <c r="C12" s="807"/>
      <c r="D12" s="807"/>
      <c r="E12" s="807"/>
      <c r="F12" s="807"/>
      <c r="G12" s="807"/>
      <c r="H12" s="807"/>
      <c r="I12" s="807"/>
      <c r="J12" s="807"/>
      <c r="K12" s="807"/>
      <c r="L12" s="807"/>
      <c r="M12" s="807"/>
    </row>
    <row r="13" spans="1:13" ht="32.25" customHeight="1">
      <c r="A13" s="811" t="s">
        <v>323</v>
      </c>
      <c r="B13" s="811"/>
      <c r="C13" s="811"/>
      <c r="D13" s="811"/>
      <c r="E13" s="811"/>
      <c r="F13" s="811"/>
      <c r="G13" s="811"/>
      <c r="H13" s="811"/>
      <c r="I13" s="811"/>
      <c r="J13" s="811"/>
      <c r="K13" s="811"/>
      <c r="L13" s="811"/>
      <c r="M13" s="811"/>
    </row>
    <row r="14" spans="1:13" ht="72.75" customHeight="1">
      <c r="A14" s="26" t="s">
        <v>30</v>
      </c>
      <c r="B14" s="26" t="s">
        <v>1</v>
      </c>
      <c r="C14" s="808" t="s">
        <v>31</v>
      </c>
      <c r="D14" s="809"/>
      <c r="E14" s="808" t="s">
        <v>32</v>
      </c>
      <c r="F14" s="810"/>
      <c r="G14" s="810"/>
      <c r="H14" s="810"/>
      <c r="I14" s="810"/>
      <c r="J14" s="810"/>
      <c r="K14" s="810"/>
      <c r="L14" s="810"/>
      <c r="M14" s="228" t="s">
        <v>33</v>
      </c>
    </row>
    <row r="15" spans="1:13" s="227" customFormat="1" ht="11.25">
      <c r="A15" s="225">
        <v>1</v>
      </c>
      <c r="B15" s="225">
        <v>2</v>
      </c>
      <c r="C15" s="803">
        <v>3</v>
      </c>
      <c r="D15" s="805"/>
      <c r="E15" s="803">
        <v>4</v>
      </c>
      <c r="F15" s="804"/>
      <c r="G15" s="804"/>
      <c r="H15" s="804"/>
      <c r="I15" s="804"/>
      <c r="J15" s="804"/>
      <c r="K15" s="804"/>
      <c r="L15" s="805"/>
      <c r="M15" s="226">
        <v>5</v>
      </c>
    </row>
    <row r="16" spans="1:13" ht="29.25" customHeight="1">
      <c r="A16" s="39"/>
      <c r="B16" s="814" t="s">
        <v>65</v>
      </c>
      <c r="C16" s="815"/>
      <c r="D16" s="815"/>
      <c r="E16" s="815"/>
      <c r="F16" s="815"/>
      <c r="G16" s="815"/>
      <c r="H16" s="815"/>
      <c r="I16" s="815"/>
      <c r="J16" s="815"/>
      <c r="K16" s="815"/>
      <c r="L16" s="815"/>
      <c r="M16" s="816"/>
    </row>
    <row r="17" spans="1:13" ht="12.75">
      <c r="A17" s="41"/>
      <c r="B17" s="42" t="s">
        <v>26</v>
      </c>
      <c r="C17" s="28"/>
      <c r="D17" s="28"/>
      <c r="E17" s="28"/>
      <c r="F17" s="43"/>
      <c r="G17" s="43"/>
      <c r="H17" s="43"/>
      <c r="I17" s="43"/>
      <c r="J17" s="43"/>
      <c r="K17" s="43"/>
      <c r="L17" s="43"/>
      <c r="M17" s="100"/>
    </row>
    <row r="18" spans="1:13" ht="12.75">
      <c r="A18" s="41"/>
      <c r="B18" s="28" t="s">
        <v>34</v>
      </c>
      <c r="C18" s="43"/>
      <c r="D18" s="27">
        <f>1.3+0.25</f>
        <v>1.55</v>
      </c>
      <c r="E18" s="43"/>
      <c r="F18" s="43"/>
      <c r="G18" s="43"/>
      <c r="H18" s="43"/>
      <c r="I18" s="43"/>
      <c r="J18" s="43"/>
      <c r="K18" s="43"/>
      <c r="L18" s="43"/>
      <c r="M18" s="100"/>
    </row>
    <row r="19" spans="1:13" ht="12.75">
      <c r="A19" s="41"/>
      <c r="B19" s="28" t="s">
        <v>123</v>
      </c>
      <c r="C19" s="43"/>
      <c r="D19" s="27">
        <v>44.19</v>
      </c>
      <c r="E19" s="44"/>
      <c r="F19" s="43"/>
      <c r="G19" s="43"/>
      <c r="H19" s="43"/>
      <c r="I19" s="43"/>
      <c r="J19" s="43"/>
      <c r="K19" s="43"/>
      <c r="L19" s="43"/>
      <c r="M19" s="100"/>
    </row>
    <row r="20" spans="1:18" ht="12.75">
      <c r="A20" s="41"/>
      <c r="B20" s="28" t="s">
        <v>330</v>
      </c>
      <c r="C20" s="27"/>
      <c r="D20" s="27">
        <v>2</v>
      </c>
      <c r="E20" s="44"/>
      <c r="F20" s="43"/>
      <c r="G20" s="43"/>
      <c r="H20" s="43"/>
      <c r="I20" s="43"/>
      <c r="J20" s="806" t="s">
        <v>114</v>
      </c>
      <c r="K20" s="806"/>
      <c r="L20" s="806"/>
      <c r="M20" s="100"/>
      <c r="P20" s="3"/>
      <c r="Q20" s="30" t="s">
        <v>114</v>
      </c>
      <c r="R20" s="3" t="s">
        <v>114</v>
      </c>
    </row>
    <row r="21" spans="1:13" ht="12.75">
      <c r="A21" s="817" t="s">
        <v>54</v>
      </c>
      <c r="B21" s="817"/>
      <c r="C21" s="817"/>
      <c r="D21" s="817"/>
      <c r="E21" s="817"/>
      <c r="F21" s="817"/>
      <c r="G21" s="817"/>
      <c r="H21" s="817"/>
      <c r="I21" s="817"/>
      <c r="J21" s="817"/>
      <c r="K21" s="817"/>
      <c r="L21" s="817"/>
      <c r="M21" s="817"/>
    </row>
    <row r="22" spans="1:13" ht="12.75">
      <c r="A22" s="818">
        <v>1</v>
      </c>
      <c r="B22" s="819" t="s">
        <v>115</v>
      </c>
      <c r="C22" s="45" t="s">
        <v>64</v>
      </c>
      <c r="D22" s="46"/>
      <c r="E22" s="821" t="s">
        <v>35</v>
      </c>
      <c r="F22" s="822"/>
      <c r="G22" s="822"/>
      <c r="H22" s="822"/>
      <c r="I22" s="822"/>
      <c r="J22" s="822"/>
      <c r="K22" s="822"/>
      <c r="L22" s="822"/>
      <c r="M22" s="812">
        <f>ROUND(E23*J23,2)</f>
        <v>3.9</v>
      </c>
    </row>
    <row r="23" spans="1:13" ht="12.75">
      <c r="A23" s="818"/>
      <c r="B23" s="820"/>
      <c r="C23" s="45"/>
      <c r="D23" s="46"/>
      <c r="E23" s="47">
        <v>4.33</v>
      </c>
      <c r="F23" s="48"/>
      <c r="G23" s="48"/>
      <c r="H23" s="48"/>
      <c r="I23" s="48"/>
      <c r="J23" s="98">
        <v>0.9</v>
      </c>
      <c r="K23" s="48"/>
      <c r="L23" s="48"/>
      <c r="M23" s="812"/>
    </row>
    <row r="24" spans="1:13" ht="12.75">
      <c r="A24" s="818"/>
      <c r="B24" s="820"/>
      <c r="C24" s="45"/>
      <c r="D24" s="46"/>
      <c r="E24" s="821" t="s">
        <v>36</v>
      </c>
      <c r="F24" s="822"/>
      <c r="G24" s="822"/>
      <c r="H24" s="822"/>
      <c r="I24" s="822"/>
      <c r="J24" s="822"/>
      <c r="K24" s="822"/>
      <c r="L24" s="822"/>
      <c r="M24" s="812">
        <f>ROUND(E25*J25,2)</f>
        <v>1.52</v>
      </c>
    </row>
    <row r="25" spans="1:13" ht="19.5" customHeight="1">
      <c r="A25" s="818"/>
      <c r="B25" s="820"/>
      <c r="C25" s="45"/>
      <c r="D25" s="46"/>
      <c r="E25" s="85">
        <v>1.69</v>
      </c>
      <c r="F25" s="86"/>
      <c r="G25" s="86"/>
      <c r="H25" s="86"/>
      <c r="I25" s="86"/>
      <c r="J25" s="86">
        <f>J23</f>
        <v>0.9</v>
      </c>
      <c r="K25" s="86"/>
      <c r="L25" s="86"/>
      <c r="M25" s="812"/>
    </row>
    <row r="26" spans="1:13" ht="12.75">
      <c r="A26" s="824">
        <v>2</v>
      </c>
      <c r="B26" s="826" t="s">
        <v>48</v>
      </c>
      <c r="C26" s="53" t="s">
        <v>67</v>
      </c>
      <c r="D26" s="54"/>
      <c r="E26" s="814" t="s">
        <v>35</v>
      </c>
      <c r="F26" s="815"/>
      <c r="G26" s="815"/>
      <c r="H26" s="815"/>
      <c r="I26" s="815"/>
      <c r="J26" s="815"/>
      <c r="K26" s="815"/>
      <c r="L26" s="815"/>
      <c r="M26" s="835">
        <f>ROUND(E27*J27,2)</f>
        <v>18.27</v>
      </c>
    </row>
    <row r="27" spans="1:13" ht="12.75">
      <c r="A27" s="818"/>
      <c r="B27" s="820"/>
      <c r="C27" s="45"/>
      <c r="D27" s="46"/>
      <c r="E27" s="47">
        <v>20.3</v>
      </c>
      <c r="F27" s="48"/>
      <c r="G27" s="48"/>
      <c r="H27" s="48"/>
      <c r="I27" s="48"/>
      <c r="J27" s="48">
        <f>J23</f>
        <v>0.9</v>
      </c>
      <c r="K27" s="48"/>
      <c r="L27" s="48"/>
      <c r="M27" s="812"/>
    </row>
    <row r="28" spans="1:13" ht="12.75">
      <c r="A28" s="818"/>
      <c r="B28" s="820"/>
      <c r="C28" s="45"/>
      <c r="D28" s="46"/>
      <c r="E28" s="821" t="s">
        <v>36</v>
      </c>
      <c r="F28" s="822"/>
      <c r="G28" s="822"/>
      <c r="H28" s="822"/>
      <c r="I28" s="822"/>
      <c r="J28" s="822"/>
      <c r="K28" s="822"/>
      <c r="L28" s="822"/>
      <c r="M28" s="812">
        <f>ROUND(E29*J29,2)</f>
        <v>1.89</v>
      </c>
    </row>
    <row r="29" spans="1:13" ht="39" customHeight="1">
      <c r="A29" s="825"/>
      <c r="B29" s="827"/>
      <c r="C29" s="31"/>
      <c r="D29" s="50"/>
      <c r="E29" s="51">
        <v>2.1</v>
      </c>
      <c r="F29" s="52"/>
      <c r="G29" s="52"/>
      <c r="H29" s="52"/>
      <c r="I29" s="52"/>
      <c r="J29" s="52">
        <f>J23</f>
        <v>0.9</v>
      </c>
      <c r="K29" s="52"/>
      <c r="L29" s="52"/>
      <c r="M29" s="813"/>
    </row>
    <row r="30" spans="1:13" ht="25.5">
      <c r="A30" s="824">
        <v>3</v>
      </c>
      <c r="B30" s="839" t="s">
        <v>78</v>
      </c>
      <c r="C30" s="53" t="s">
        <v>37</v>
      </c>
      <c r="D30" s="54"/>
      <c r="E30" s="814" t="s">
        <v>35</v>
      </c>
      <c r="F30" s="815"/>
      <c r="G30" s="815"/>
      <c r="H30" s="815"/>
      <c r="I30" s="815"/>
      <c r="J30" s="815"/>
      <c r="K30" s="815"/>
      <c r="L30" s="815"/>
      <c r="M30" s="836">
        <f>ROUND(E31*J31*L31,2)</f>
        <v>7.02</v>
      </c>
    </row>
    <row r="31" spans="1:13" ht="102.75">
      <c r="A31" s="818"/>
      <c r="B31" s="840"/>
      <c r="C31" s="45" t="s">
        <v>68</v>
      </c>
      <c r="D31" s="46">
        <v>0.6</v>
      </c>
      <c r="E31" s="47">
        <v>11.7</v>
      </c>
      <c r="F31" s="48"/>
      <c r="G31" s="48"/>
      <c r="H31" s="48"/>
      <c r="I31" s="48"/>
      <c r="J31" s="48">
        <v>1</v>
      </c>
      <c r="K31" s="48" t="s">
        <v>12</v>
      </c>
      <c r="L31" s="48">
        <v>0.6</v>
      </c>
      <c r="M31" s="837"/>
    </row>
    <row r="32" spans="1:13" ht="12.75">
      <c r="A32" s="818"/>
      <c r="B32" s="840"/>
      <c r="C32" s="45"/>
      <c r="D32" s="46"/>
      <c r="E32" s="821" t="s">
        <v>36</v>
      </c>
      <c r="F32" s="822"/>
      <c r="G32" s="822"/>
      <c r="H32" s="822"/>
      <c r="I32" s="822"/>
      <c r="J32" s="822"/>
      <c r="K32" s="822"/>
      <c r="L32" s="822"/>
      <c r="M32" s="836">
        <f>ROUND(E33*J33*L33,2)</f>
        <v>4.5</v>
      </c>
    </row>
    <row r="33" spans="1:13" ht="12.75">
      <c r="A33" s="825"/>
      <c r="B33" s="851"/>
      <c r="C33" s="31"/>
      <c r="D33" s="50"/>
      <c r="E33" s="55">
        <v>7.5</v>
      </c>
      <c r="F33" s="56"/>
      <c r="G33" s="56"/>
      <c r="H33" s="56"/>
      <c r="I33" s="56"/>
      <c r="J33" s="56">
        <v>1</v>
      </c>
      <c r="K33" s="56" t="s">
        <v>12</v>
      </c>
      <c r="L33" s="56">
        <v>0.6</v>
      </c>
      <c r="M33" s="837"/>
    </row>
    <row r="34" spans="1:13" ht="25.5">
      <c r="A34" s="39">
        <v>4</v>
      </c>
      <c r="B34" s="57" t="s">
        <v>40</v>
      </c>
      <c r="C34" s="53" t="s">
        <v>41</v>
      </c>
      <c r="D34" s="60"/>
      <c r="E34" s="814" t="s">
        <v>35</v>
      </c>
      <c r="F34" s="815"/>
      <c r="G34" s="815"/>
      <c r="H34" s="815"/>
      <c r="I34" s="815"/>
      <c r="J34" s="815"/>
      <c r="K34" s="815"/>
      <c r="L34" s="815"/>
      <c r="M34" s="95"/>
    </row>
    <row r="35" spans="1:13" ht="59.25">
      <c r="A35" s="49"/>
      <c r="B35" s="59" t="s">
        <v>60</v>
      </c>
      <c r="C35" s="31" t="s">
        <v>69</v>
      </c>
      <c r="D35" s="50">
        <v>0.9</v>
      </c>
      <c r="E35" s="55">
        <v>6.9</v>
      </c>
      <c r="F35" s="48"/>
      <c r="G35" s="48"/>
      <c r="H35" s="48"/>
      <c r="I35" s="48"/>
      <c r="J35" s="56">
        <v>1</v>
      </c>
      <c r="K35" s="48" t="s">
        <v>12</v>
      </c>
      <c r="L35" s="56">
        <v>0.9</v>
      </c>
      <c r="M35" s="76">
        <f>ROUND(E35*J35*L35,2)</f>
        <v>6.21</v>
      </c>
    </row>
    <row r="36" spans="1:13" ht="25.5">
      <c r="A36" s="29">
        <v>5</v>
      </c>
      <c r="B36" s="57" t="s">
        <v>42</v>
      </c>
      <c r="C36" s="53"/>
      <c r="D36" s="60"/>
      <c r="E36" s="814" t="s">
        <v>35</v>
      </c>
      <c r="F36" s="815"/>
      <c r="G36" s="815"/>
      <c r="H36" s="815"/>
      <c r="I36" s="815"/>
      <c r="J36" s="815"/>
      <c r="K36" s="815"/>
      <c r="L36" s="815"/>
      <c r="M36" s="95"/>
    </row>
    <row r="37" spans="1:13" ht="12.75">
      <c r="A37" s="29"/>
      <c r="B37" s="58" t="s">
        <v>43</v>
      </c>
      <c r="C37" s="45" t="s">
        <v>49</v>
      </c>
      <c r="D37" s="61"/>
      <c r="E37" s="47">
        <v>37.7</v>
      </c>
      <c r="F37" s="48"/>
      <c r="G37" s="48"/>
      <c r="H37" s="48"/>
      <c r="I37" s="48"/>
      <c r="J37" s="48">
        <v>1</v>
      </c>
      <c r="K37" s="48"/>
      <c r="L37" s="48"/>
      <c r="M37" s="96">
        <f>ROUND(E37*J37,2)</f>
        <v>37.7</v>
      </c>
    </row>
    <row r="38" spans="1:13" ht="25.5">
      <c r="A38" s="824">
        <v>6</v>
      </c>
      <c r="B38" s="839" t="s">
        <v>80</v>
      </c>
      <c r="C38" s="53" t="s">
        <v>47</v>
      </c>
      <c r="D38" s="54"/>
      <c r="E38" s="814" t="s">
        <v>35</v>
      </c>
      <c r="F38" s="815"/>
      <c r="G38" s="815"/>
      <c r="H38" s="815"/>
      <c r="I38" s="815"/>
      <c r="J38" s="815"/>
      <c r="K38" s="815"/>
      <c r="L38" s="815"/>
      <c r="M38" s="835">
        <f>ROUND(E39*J39,2)</f>
        <v>984</v>
      </c>
    </row>
    <row r="39" spans="1:13" ht="12.75">
      <c r="A39" s="818"/>
      <c r="B39" s="840"/>
      <c r="C39" s="45"/>
      <c r="D39" s="46"/>
      <c r="E39" s="47">
        <v>49.2</v>
      </c>
      <c r="F39" s="48"/>
      <c r="G39" s="48"/>
      <c r="H39" s="48"/>
      <c r="I39" s="48"/>
      <c r="J39" s="48">
        <f>D20/0.1</f>
        <v>20</v>
      </c>
      <c r="K39" s="48"/>
      <c r="L39" s="48"/>
      <c r="M39" s="812"/>
    </row>
    <row r="40" spans="1:13" ht="12.75">
      <c r="A40" s="818"/>
      <c r="B40" s="840"/>
      <c r="C40" s="45"/>
      <c r="D40" s="46"/>
      <c r="E40" s="821" t="s">
        <v>36</v>
      </c>
      <c r="F40" s="822"/>
      <c r="G40" s="822"/>
      <c r="H40" s="822"/>
      <c r="I40" s="822"/>
      <c r="J40" s="822"/>
      <c r="K40" s="822"/>
      <c r="L40" s="822"/>
      <c r="M40" s="835">
        <f>ROUND(E41*J41,2)</f>
        <v>296</v>
      </c>
    </row>
    <row r="41" spans="1:13" ht="12.75">
      <c r="A41" s="825"/>
      <c r="B41" s="840"/>
      <c r="C41" s="31"/>
      <c r="D41" s="50"/>
      <c r="E41" s="51">
        <v>14.8</v>
      </c>
      <c r="F41" s="52"/>
      <c r="G41" s="52"/>
      <c r="H41" s="52"/>
      <c r="I41" s="52"/>
      <c r="J41" s="52">
        <f>J39</f>
        <v>20</v>
      </c>
      <c r="K41" s="52"/>
      <c r="L41" s="52"/>
      <c r="M41" s="813"/>
    </row>
    <row r="42" spans="1:13" ht="12.75">
      <c r="A42" s="47"/>
      <c r="B42" s="60"/>
      <c r="C42" s="841" t="s">
        <v>11</v>
      </c>
      <c r="D42" s="842"/>
      <c r="E42" s="842"/>
      <c r="F42" s="842"/>
      <c r="G42" s="842"/>
      <c r="H42" s="842"/>
      <c r="I42" s="842"/>
      <c r="J42" s="842"/>
      <c r="K42" s="842"/>
      <c r="L42" s="842"/>
      <c r="M42" s="97">
        <f>M44+M43</f>
        <v>1361.01</v>
      </c>
    </row>
    <row r="43" spans="1:13" ht="12.75">
      <c r="A43" s="47"/>
      <c r="B43" s="62"/>
      <c r="C43" s="847" t="s">
        <v>38</v>
      </c>
      <c r="D43" s="848"/>
      <c r="E43" s="848"/>
      <c r="F43" s="848"/>
      <c r="G43" s="848"/>
      <c r="H43" s="848"/>
      <c r="I43" s="848"/>
      <c r="J43" s="848"/>
      <c r="K43" s="848"/>
      <c r="L43" s="848"/>
      <c r="M43" s="24">
        <f>M22+M26+M30+M38+M35+M37</f>
        <v>1057.1</v>
      </c>
    </row>
    <row r="44" spans="1:13" ht="12.75">
      <c r="A44" s="47"/>
      <c r="B44" s="62"/>
      <c r="C44" s="849" t="s">
        <v>39</v>
      </c>
      <c r="D44" s="850"/>
      <c r="E44" s="850"/>
      <c r="F44" s="850"/>
      <c r="G44" s="850"/>
      <c r="H44" s="850"/>
      <c r="I44" s="850"/>
      <c r="J44" s="850"/>
      <c r="K44" s="850"/>
      <c r="L44" s="850"/>
      <c r="M44" s="95">
        <f>M24+M28+M32+M40</f>
        <v>303.91</v>
      </c>
    </row>
    <row r="45" spans="1:13" ht="12.75">
      <c r="A45" s="38"/>
      <c r="B45" s="63" t="s">
        <v>53</v>
      </c>
      <c r="C45" s="66"/>
      <c r="D45" s="65"/>
      <c r="E45" s="66"/>
      <c r="F45" s="64"/>
      <c r="G45" s="64"/>
      <c r="H45" s="64"/>
      <c r="I45" s="64"/>
      <c r="J45" s="64"/>
      <c r="K45" s="64"/>
      <c r="L45" s="64"/>
      <c r="M45" s="24"/>
    </row>
    <row r="46" spans="1:13" ht="63.75">
      <c r="A46" s="47">
        <v>7</v>
      </c>
      <c r="B46" s="57" t="s">
        <v>70</v>
      </c>
      <c r="C46" s="67" t="s">
        <v>50</v>
      </c>
      <c r="D46" s="68"/>
      <c r="E46" s="67">
        <v>52.3</v>
      </c>
      <c r="G46" s="69"/>
      <c r="H46" s="69"/>
      <c r="I46" s="69"/>
      <c r="J46" s="69">
        <f>B47</f>
        <v>1</v>
      </c>
      <c r="K46" s="69"/>
      <c r="L46" s="69"/>
      <c r="M46" s="76">
        <f>ROUND(E46*J46,2)</f>
        <v>52.3</v>
      </c>
    </row>
    <row r="47" spans="1:13" ht="12.75">
      <c r="A47" s="55"/>
      <c r="B47" s="70">
        <v>1</v>
      </c>
      <c r="C47" s="71"/>
      <c r="D47" s="72"/>
      <c r="E47" s="71"/>
      <c r="F47" s="73"/>
      <c r="G47" s="73"/>
      <c r="H47" s="73"/>
      <c r="I47" s="73"/>
      <c r="J47" s="73"/>
      <c r="K47" s="73"/>
      <c r="L47" s="73"/>
      <c r="M47" s="97"/>
    </row>
    <row r="48" spans="1:13" ht="51">
      <c r="A48" s="39">
        <v>8</v>
      </c>
      <c r="B48" s="62" t="s">
        <v>71</v>
      </c>
      <c r="C48" s="67" t="s">
        <v>51</v>
      </c>
      <c r="D48" s="68"/>
      <c r="E48" s="67">
        <v>13.3</v>
      </c>
      <c r="F48" s="69"/>
      <c r="G48" s="69"/>
      <c r="H48" s="69"/>
      <c r="I48" s="69"/>
      <c r="J48" s="69">
        <f>B49</f>
        <v>1</v>
      </c>
      <c r="K48" s="69"/>
      <c r="L48" s="69"/>
      <c r="M48" s="101">
        <f>ROUND(E48*J48,2)</f>
        <v>13.3</v>
      </c>
    </row>
    <row r="49" spans="1:13" ht="12.75">
      <c r="A49" s="49"/>
      <c r="B49" s="73">
        <v>1</v>
      </c>
      <c r="C49" s="71"/>
      <c r="D49" s="72"/>
      <c r="E49" s="71"/>
      <c r="F49" s="73"/>
      <c r="G49" s="73"/>
      <c r="H49" s="73"/>
      <c r="I49" s="73"/>
      <c r="J49" s="73"/>
      <c r="K49" s="73"/>
      <c r="L49" s="73"/>
      <c r="M49" s="97"/>
    </row>
    <row r="50" spans="1:13" ht="38.25">
      <c r="A50" s="29">
        <v>9</v>
      </c>
      <c r="B50" s="62" t="s">
        <v>72</v>
      </c>
      <c r="C50" s="67" t="s">
        <v>52</v>
      </c>
      <c r="D50" s="68"/>
      <c r="E50" s="104">
        <v>19.7</v>
      </c>
      <c r="F50" s="69"/>
      <c r="G50" s="69"/>
      <c r="H50" s="69"/>
      <c r="I50" s="69"/>
      <c r="J50" s="69">
        <f>B51</f>
        <v>1</v>
      </c>
      <c r="K50" s="69"/>
      <c r="L50" s="69"/>
      <c r="M50" s="101">
        <f>ROUND(E50*J50,2)</f>
        <v>19.7</v>
      </c>
    </row>
    <row r="51" spans="1:13" ht="12.75">
      <c r="A51" s="29"/>
      <c r="B51" s="69">
        <v>1</v>
      </c>
      <c r="C51" s="67"/>
      <c r="D51" s="68"/>
      <c r="E51" s="67"/>
      <c r="F51" s="69"/>
      <c r="G51" s="69"/>
      <c r="H51" s="69"/>
      <c r="I51" s="69"/>
      <c r="J51" s="69"/>
      <c r="K51" s="69"/>
      <c r="L51" s="69"/>
      <c r="M51" s="96"/>
    </row>
    <row r="52" spans="1:13" ht="12.75" customHeight="1">
      <c r="A52" s="37"/>
      <c r="B52" s="74"/>
      <c r="C52" s="64"/>
      <c r="D52" s="64"/>
      <c r="E52" s="64"/>
      <c r="F52" s="845" t="s">
        <v>55</v>
      </c>
      <c r="G52" s="845"/>
      <c r="H52" s="845"/>
      <c r="I52" s="845"/>
      <c r="J52" s="845"/>
      <c r="K52" s="845"/>
      <c r="L52" s="846"/>
      <c r="M52" s="24">
        <f>M46+M48+M50</f>
        <v>85.3</v>
      </c>
    </row>
    <row r="53" spans="1:13" ht="16.5" customHeight="1">
      <c r="A53" s="75"/>
      <c r="B53" s="43"/>
      <c r="C53" s="43"/>
      <c r="D53" s="43"/>
      <c r="E53" s="43"/>
      <c r="F53" s="43"/>
      <c r="G53" s="43"/>
      <c r="H53" s="43"/>
      <c r="I53" s="43"/>
      <c r="J53" s="843" t="s">
        <v>11</v>
      </c>
      <c r="K53" s="843"/>
      <c r="L53" s="843"/>
      <c r="M53" s="102">
        <f>M52+M42</f>
        <v>1446.31</v>
      </c>
    </row>
    <row r="54" spans="1:13" ht="41.25" customHeight="1">
      <c r="A54" s="39">
        <v>10</v>
      </c>
      <c r="B54" s="57" t="s">
        <v>56</v>
      </c>
      <c r="C54" s="53" t="s">
        <v>57</v>
      </c>
      <c r="D54" s="54">
        <v>18</v>
      </c>
      <c r="E54" s="105">
        <f>M44</f>
        <v>303.91</v>
      </c>
      <c r="F54" s="40"/>
      <c r="G54" s="40"/>
      <c r="H54" s="40"/>
      <c r="I54" s="40" t="s">
        <v>12</v>
      </c>
      <c r="J54" s="40">
        <v>0.18</v>
      </c>
      <c r="K54" s="40"/>
      <c r="L54" s="40"/>
      <c r="M54" s="101">
        <f>ROUND(E54*J54,2)</f>
        <v>54.7</v>
      </c>
    </row>
    <row r="55" spans="1:13" ht="15" customHeight="1">
      <c r="A55" s="37">
        <v>11</v>
      </c>
      <c r="B55" s="87" t="s">
        <v>44</v>
      </c>
      <c r="C55" s="88" t="s">
        <v>66</v>
      </c>
      <c r="D55" s="89">
        <v>0.0875</v>
      </c>
      <c r="E55" s="38">
        <f>M43</f>
        <v>1057.1</v>
      </c>
      <c r="F55" s="83"/>
      <c r="G55" s="83"/>
      <c r="H55" s="83"/>
      <c r="I55" s="83" t="s">
        <v>12</v>
      </c>
      <c r="J55" s="845">
        <v>0.0875</v>
      </c>
      <c r="K55" s="845"/>
      <c r="L55" s="83"/>
      <c r="M55" s="94">
        <f>ROUND(E55*J55,2)</f>
        <v>92.5</v>
      </c>
    </row>
    <row r="56" spans="1:13" ht="12.75">
      <c r="A56" s="818">
        <v>12</v>
      </c>
      <c r="B56" s="840" t="s">
        <v>45</v>
      </c>
      <c r="C56" s="45" t="s">
        <v>81</v>
      </c>
      <c r="D56" s="90">
        <v>0.06</v>
      </c>
      <c r="E56" s="206" t="s">
        <v>61</v>
      </c>
      <c r="F56" s="207">
        <f>M43</f>
        <v>1057.1</v>
      </c>
      <c r="G56" s="205" t="s">
        <v>62</v>
      </c>
      <c r="H56" s="176">
        <f>M55</f>
        <v>92.5</v>
      </c>
      <c r="I56" s="86" t="s">
        <v>63</v>
      </c>
      <c r="J56" s="86">
        <v>0.06</v>
      </c>
      <c r="K56" s="86" t="s">
        <v>12</v>
      </c>
      <c r="L56" s="86">
        <f>D57</f>
        <v>2.5</v>
      </c>
      <c r="M56" s="96">
        <f>ROUND((F56+H56)*J56*L56,2)</f>
        <v>172.44</v>
      </c>
    </row>
    <row r="57" spans="1:13" ht="90" customHeight="1">
      <c r="A57" s="818"/>
      <c r="B57" s="840"/>
      <c r="C57" s="45" t="s">
        <v>79</v>
      </c>
      <c r="D57" s="46">
        <v>2.5</v>
      </c>
      <c r="E57" s="47"/>
      <c r="F57" s="48"/>
      <c r="G57" s="48"/>
      <c r="H57" s="48"/>
      <c r="I57" s="48"/>
      <c r="J57" s="48"/>
      <c r="K57" s="48"/>
      <c r="L57" s="48"/>
      <c r="M57" s="96"/>
    </row>
    <row r="58" spans="1:13" ht="13.5" customHeight="1">
      <c r="A58" s="37"/>
      <c r="B58" s="91"/>
      <c r="C58" s="92"/>
      <c r="D58" s="82"/>
      <c r="E58" s="83"/>
      <c r="F58" s="83"/>
      <c r="G58" s="83"/>
      <c r="H58" s="83"/>
      <c r="I58" s="83"/>
      <c r="J58" s="823" t="s">
        <v>11</v>
      </c>
      <c r="K58" s="823"/>
      <c r="L58" s="823"/>
      <c r="M58" s="24">
        <f>M53+M54+M55+M56</f>
        <v>1765.95</v>
      </c>
    </row>
    <row r="59" spans="1:13" ht="76.5">
      <c r="A59" s="93">
        <v>13</v>
      </c>
      <c r="B59" s="61" t="s">
        <v>113</v>
      </c>
      <c r="C59" s="45" t="s">
        <v>112</v>
      </c>
      <c r="D59" s="61">
        <v>44.19</v>
      </c>
      <c r="E59" s="103">
        <f>M58</f>
        <v>1765.95</v>
      </c>
      <c r="F59" s="48"/>
      <c r="G59" s="48" t="s">
        <v>12</v>
      </c>
      <c r="H59" s="48">
        <f>D18</f>
        <v>1.55</v>
      </c>
      <c r="I59" s="48" t="s">
        <v>12</v>
      </c>
      <c r="J59" s="822">
        <f>D59</f>
        <v>44.19</v>
      </c>
      <c r="K59" s="822"/>
      <c r="L59" s="48"/>
      <c r="M59" s="76">
        <f>ROUND(E59*H59*J59,2)</f>
        <v>120957.86</v>
      </c>
    </row>
    <row r="60" spans="1:13" ht="12.75">
      <c r="A60" s="830" t="s">
        <v>58</v>
      </c>
      <c r="B60" s="831"/>
      <c r="C60" s="831"/>
      <c r="D60" s="831"/>
      <c r="E60" s="831"/>
      <c r="F60" s="83"/>
      <c r="G60" s="83"/>
      <c r="H60" s="83"/>
      <c r="I60" s="83"/>
      <c r="J60" s="83"/>
      <c r="K60" s="83"/>
      <c r="L60" s="83"/>
      <c r="M60" s="221">
        <f>M59</f>
        <v>120957.86</v>
      </c>
    </row>
    <row r="61" spans="1:13" ht="12.75">
      <c r="A61" s="832" t="s">
        <v>27</v>
      </c>
      <c r="B61" s="833"/>
      <c r="C61" s="833"/>
      <c r="D61" s="834">
        <v>1</v>
      </c>
      <c r="E61" s="834"/>
      <c r="F61" s="48"/>
      <c r="G61" s="48"/>
      <c r="H61" s="48"/>
      <c r="I61" s="48"/>
      <c r="J61" s="48"/>
      <c r="K61" s="48"/>
      <c r="L61" s="48"/>
      <c r="M61" s="222">
        <f>M60*D61</f>
        <v>120957.86</v>
      </c>
    </row>
    <row r="62" spans="1:13" ht="12.75">
      <c r="A62" s="77"/>
      <c r="B62" s="78"/>
      <c r="C62" s="78"/>
      <c r="D62" s="79"/>
      <c r="E62" s="828" t="s">
        <v>46</v>
      </c>
      <c r="F62" s="829"/>
      <c r="G62" s="829"/>
      <c r="H62" s="829"/>
      <c r="I62" s="829"/>
      <c r="J62" s="829"/>
      <c r="K62" s="829"/>
      <c r="L62" s="829"/>
      <c r="M62" s="223">
        <f>M61*0.18</f>
        <v>21772.41</v>
      </c>
    </row>
    <row r="63" spans="1:13" ht="14.25" customHeight="1">
      <c r="A63" s="80"/>
      <c r="B63" s="844" t="s">
        <v>122</v>
      </c>
      <c r="C63" s="844"/>
      <c r="D63" s="844"/>
      <c r="E63" s="844"/>
      <c r="F63" s="844"/>
      <c r="G63" s="844"/>
      <c r="H63" s="844"/>
      <c r="I63" s="844"/>
      <c r="J63" s="844"/>
      <c r="K63" s="844"/>
      <c r="L63" s="844"/>
      <c r="M63" s="223">
        <f>M61+M62</f>
        <v>142730.27</v>
      </c>
    </row>
    <row r="65" spans="2:4" ht="12.75">
      <c r="B65" s="15"/>
      <c r="C65" s="15"/>
      <c r="D65" s="15"/>
    </row>
    <row r="66" spans="2:4" ht="12.75">
      <c r="B66" s="15"/>
      <c r="C66" s="15"/>
      <c r="D66" s="15"/>
    </row>
    <row r="67" spans="2:13" ht="15" customHeight="1">
      <c r="B67" s="561" t="s">
        <v>274</v>
      </c>
      <c r="C67" s="560"/>
      <c r="D67" s="560" t="s">
        <v>275</v>
      </c>
      <c r="E67" s="15"/>
      <c r="F67" s="15"/>
      <c r="G67" s="15"/>
      <c r="H67" s="15"/>
      <c r="I67" s="15"/>
      <c r="J67" s="802"/>
      <c r="K67" s="802"/>
      <c r="L67" s="802"/>
      <c r="M67" s="802"/>
    </row>
    <row r="68" spans="2:4" ht="15">
      <c r="B68" s="439"/>
      <c r="C68" s="560"/>
      <c r="D68" s="560"/>
    </row>
    <row r="69" spans="2:4" ht="15">
      <c r="B69" s="439"/>
      <c r="C69" s="560"/>
      <c r="D69" s="560"/>
    </row>
    <row r="70" spans="2:4" ht="15">
      <c r="B70" s="562" t="s">
        <v>276</v>
      </c>
      <c r="C70" s="560"/>
      <c r="D70" s="560" t="s">
        <v>275</v>
      </c>
    </row>
    <row r="71" spans="2:4" ht="12.75">
      <c r="B71"/>
      <c r="C71"/>
      <c r="D71"/>
    </row>
  </sheetData>
  <sheetProtection/>
  <mergeCells count="56">
    <mergeCell ref="B63:L63"/>
    <mergeCell ref="J55:K55"/>
    <mergeCell ref="A56:A57"/>
    <mergeCell ref="F52:L52"/>
    <mergeCell ref="A30:A33"/>
    <mergeCell ref="C43:L43"/>
    <mergeCell ref="C44:L44"/>
    <mergeCell ref="B56:B57"/>
    <mergeCell ref="B30:B33"/>
    <mergeCell ref="E30:L30"/>
    <mergeCell ref="J59:K59"/>
    <mergeCell ref="A11:M11"/>
    <mergeCell ref="A38:A41"/>
    <mergeCell ref="B38:B41"/>
    <mergeCell ref="E38:L38"/>
    <mergeCell ref="M38:M39"/>
    <mergeCell ref="E32:L32"/>
    <mergeCell ref="C42:L42"/>
    <mergeCell ref="J53:L53"/>
    <mergeCell ref="E26:L26"/>
    <mergeCell ref="M26:M27"/>
    <mergeCell ref="E28:L28"/>
    <mergeCell ref="E40:L40"/>
    <mergeCell ref="M40:M41"/>
    <mergeCell ref="M30:M31"/>
    <mergeCell ref="M32:M33"/>
    <mergeCell ref="J58:L58"/>
    <mergeCell ref="M24:M25"/>
    <mergeCell ref="A26:A29"/>
    <mergeCell ref="B26:B29"/>
    <mergeCell ref="E62:L62"/>
    <mergeCell ref="A60:E60"/>
    <mergeCell ref="A61:C61"/>
    <mergeCell ref="E34:L34"/>
    <mergeCell ref="E36:L36"/>
    <mergeCell ref="D61:E61"/>
    <mergeCell ref="C15:D15"/>
    <mergeCell ref="A13:M13"/>
    <mergeCell ref="M28:M29"/>
    <mergeCell ref="B16:M16"/>
    <mergeCell ref="A21:M21"/>
    <mergeCell ref="A22:A25"/>
    <mergeCell ref="B22:B25"/>
    <mergeCell ref="E22:L22"/>
    <mergeCell ref="M22:M23"/>
    <mergeCell ref="E24:L24"/>
    <mergeCell ref="J67:M67"/>
    <mergeCell ref="E15:L15"/>
    <mergeCell ref="J20:L20"/>
    <mergeCell ref="E5:L5"/>
    <mergeCell ref="E1:M1"/>
    <mergeCell ref="E2:M2"/>
    <mergeCell ref="E3:M3"/>
    <mergeCell ref="A12:M12"/>
    <mergeCell ref="C14:D14"/>
    <mergeCell ref="E14:L14"/>
  </mergeCells>
  <printOptions/>
  <pageMargins left="0.5118110236220472" right="0.31" top="0.35433070866141736" bottom="0.7480314960629921" header="0.31496062992125984" footer="0.31496062992125984"/>
  <pageSetup fitToHeight="0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B2" sqref="B2:O6"/>
    </sheetView>
  </sheetViews>
  <sheetFormatPr defaultColWidth="9.00390625" defaultRowHeight="12.75"/>
  <cols>
    <col min="1" max="1" width="4.375" style="0" customWidth="1"/>
    <col min="2" max="2" width="44.75390625" style="0" customWidth="1"/>
    <col min="3" max="3" width="10.00390625" style="0" customWidth="1"/>
    <col min="4" max="4" width="16.375" style="0" customWidth="1"/>
    <col min="5" max="5" width="9.625" style="0" customWidth="1"/>
    <col min="6" max="6" width="2.625" style="0" customWidth="1"/>
    <col min="7" max="7" width="10.25390625" style="0" customWidth="1"/>
    <col min="8" max="8" width="13.625" style="0" customWidth="1"/>
  </cols>
  <sheetData>
    <row r="1" spans="1:15" ht="15">
      <c r="A1" s="438"/>
      <c r="B1" s="439"/>
      <c r="C1" s="439"/>
      <c r="D1" s="439"/>
      <c r="E1" s="439"/>
      <c r="F1" s="439"/>
      <c r="G1" s="439"/>
      <c r="H1" s="439"/>
      <c r="I1" s="440"/>
      <c r="J1" s="440"/>
      <c r="K1" s="440"/>
      <c r="L1" s="440"/>
      <c r="M1" s="440"/>
      <c r="N1" s="440"/>
      <c r="O1" s="440"/>
    </row>
    <row r="2" spans="1:15" ht="15.75">
      <c r="A2" s="441"/>
      <c r="B2" s="726" t="s">
        <v>74</v>
      </c>
      <c r="C2" s="726"/>
      <c r="D2" s="235"/>
      <c r="E2" s="235"/>
      <c r="F2" s="236" t="s">
        <v>75</v>
      </c>
      <c r="G2" s="236"/>
      <c r="H2" s="237"/>
      <c r="I2" s="440"/>
      <c r="J2" s="440"/>
      <c r="K2" s="440"/>
      <c r="L2" s="440"/>
      <c r="M2" s="440"/>
      <c r="N2" s="440"/>
      <c r="O2" s="440"/>
    </row>
    <row r="3" spans="1:15" ht="15.75">
      <c r="A3" s="441"/>
      <c r="B3" s="441"/>
      <c r="C3" s="441"/>
      <c r="D3" s="852"/>
      <c r="E3" s="852"/>
      <c r="F3" s="852"/>
      <c r="G3" s="852"/>
      <c r="H3" s="852"/>
      <c r="I3" s="440"/>
      <c r="J3" s="440"/>
      <c r="K3" s="440"/>
      <c r="L3" s="440"/>
      <c r="M3" s="440"/>
      <c r="N3" s="440"/>
      <c r="O3" s="440"/>
    </row>
    <row r="4" spans="1:15" ht="15.75">
      <c r="A4" s="441"/>
      <c r="B4" s="727"/>
      <c r="C4" s="727"/>
      <c r="D4" s="727"/>
      <c r="E4" s="235"/>
      <c r="F4" s="728"/>
      <c r="G4" s="728"/>
      <c r="H4" s="728"/>
      <c r="I4" s="728"/>
      <c r="J4" s="728"/>
      <c r="K4" s="728"/>
      <c r="L4" s="728"/>
      <c r="M4" s="728"/>
      <c r="N4" s="728"/>
      <c r="O4" s="728"/>
    </row>
    <row r="5" spans="1:15" ht="15.75">
      <c r="A5" s="441"/>
      <c r="B5" s="726" t="s">
        <v>126</v>
      </c>
      <c r="C5" s="726"/>
      <c r="D5" s="235"/>
      <c r="E5" s="235"/>
      <c r="F5" s="726" t="s">
        <v>127</v>
      </c>
      <c r="G5" s="726"/>
      <c r="H5" s="726"/>
      <c r="I5" s="726"/>
      <c r="J5" s="726"/>
      <c r="K5" s="726"/>
      <c r="L5" s="726"/>
      <c r="M5" s="726"/>
      <c r="N5" s="726"/>
      <c r="O5" s="726"/>
    </row>
    <row r="6" spans="1:15" ht="15.75">
      <c r="A6" s="441"/>
      <c r="B6" s="727" t="s">
        <v>128</v>
      </c>
      <c r="C6" s="727"/>
      <c r="D6" s="235"/>
      <c r="E6" s="235"/>
      <c r="F6" s="727" t="s">
        <v>128</v>
      </c>
      <c r="G6" s="727"/>
      <c r="H6" s="727"/>
      <c r="I6" s="727"/>
      <c r="J6" s="727"/>
      <c r="K6" s="727"/>
      <c r="L6" s="727"/>
      <c r="M6" s="727"/>
      <c r="N6" s="727"/>
      <c r="O6" s="727"/>
    </row>
    <row r="7" spans="1:15" ht="15.75">
      <c r="A7" s="442"/>
      <c r="B7" s="442"/>
      <c r="C7" s="443"/>
      <c r="D7" s="444"/>
      <c r="E7" s="444"/>
      <c r="F7" s="445"/>
      <c r="G7" s="445"/>
      <c r="H7" s="441"/>
      <c r="I7" s="440"/>
      <c r="J7" s="440"/>
      <c r="K7" s="440"/>
      <c r="L7" s="440"/>
      <c r="M7" s="440"/>
      <c r="N7" s="440"/>
      <c r="O7" s="440"/>
    </row>
    <row r="8" spans="1:15" ht="15.75">
      <c r="A8" s="442"/>
      <c r="B8" s="442"/>
      <c r="C8" s="443"/>
      <c r="D8" s="442"/>
      <c r="E8" s="444"/>
      <c r="F8" s="445"/>
      <c r="G8" s="445"/>
      <c r="H8" s="441"/>
      <c r="I8" s="440"/>
      <c r="J8" s="440"/>
      <c r="K8" s="440"/>
      <c r="L8" s="440"/>
      <c r="M8" s="440"/>
      <c r="N8" s="440"/>
      <c r="O8" s="440"/>
    </row>
    <row r="9" spans="1:15" ht="18.75">
      <c r="A9" s="446"/>
      <c r="B9" s="446"/>
      <c r="C9" s="447"/>
      <c r="D9" s="446"/>
      <c r="E9" s="448"/>
      <c r="F9" s="449"/>
      <c r="G9" s="449"/>
      <c r="H9" s="450"/>
      <c r="I9" s="440"/>
      <c r="J9" s="440"/>
      <c r="K9" s="440"/>
      <c r="L9" s="440"/>
      <c r="M9" s="440"/>
      <c r="N9" s="440"/>
      <c r="O9" s="440"/>
    </row>
    <row r="10" spans="1:15" ht="15">
      <c r="A10" s="853" t="s">
        <v>214</v>
      </c>
      <c r="B10" s="853"/>
      <c r="C10" s="853"/>
      <c r="D10" s="853"/>
      <c r="E10" s="853"/>
      <c r="F10" s="853"/>
      <c r="G10" s="853"/>
      <c r="H10" s="853"/>
      <c r="I10" s="440"/>
      <c r="J10" s="440"/>
      <c r="K10" s="440"/>
      <c r="L10" s="440"/>
      <c r="M10" s="440"/>
      <c r="N10" s="440"/>
      <c r="O10" s="440"/>
    </row>
    <row r="11" spans="1:15" ht="15">
      <c r="A11" s="853" t="s">
        <v>215</v>
      </c>
      <c r="B11" s="853"/>
      <c r="C11" s="853"/>
      <c r="D11" s="853"/>
      <c r="E11" s="853"/>
      <c r="F11" s="853"/>
      <c r="G11" s="853"/>
      <c r="H11" s="853"/>
      <c r="I11" s="440"/>
      <c r="J11" s="440"/>
      <c r="K11" s="440"/>
      <c r="L11" s="440"/>
      <c r="M11" s="440"/>
      <c r="N11" s="440"/>
      <c r="O11" s="440"/>
    </row>
    <row r="12" spans="1:15" ht="15">
      <c r="A12" s="438"/>
      <c r="B12" s="854" t="s">
        <v>326</v>
      </c>
      <c r="C12" s="854"/>
      <c r="D12" s="855"/>
      <c r="E12" s="855"/>
      <c r="F12" s="855"/>
      <c r="G12" s="855"/>
      <c r="H12" s="855"/>
      <c r="I12" s="440"/>
      <c r="J12" s="440"/>
      <c r="K12" s="440"/>
      <c r="L12" s="440"/>
      <c r="M12" s="440"/>
      <c r="N12" s="440"/>
      <c r="O12" s="440"/>
    </row>
    <row r="13" spans="1:15" ht="15.75">
      <c r="A13" s="438"/>
      <c r="B13" s="854"/>
      <c r="C13" s="854"/>
      <c r="D13" s="854"/>
      <c r="E13" s="854"/>
      <c r="F13" s="854"/>
      <c r="G13" s="854"/>
      <c r="H13" s="451"/>
      <c r="I13" s="440"/>
      <c r="J13" s="440"/>
      <c r="K13" s="440"/>
      <c r="L13" s="440"/>
      <c r="M13" s="440"/>
      <c r="N13" s="440"/>
      <c r="O13" s="440"/>
    </row>
    <row r="14" spans="1:15" ht="16.5" thickBot="1">
      <c r="A14" s="438"/>
      <c r="B14" s="854"/>
      <c r="C14" s="854"/>
      <c r="D14" s="856"/>
      <c r="E14" s="856"/>
      <c r="F14" s="856"/>
      <c r="G14" s="856"/>
      <c r="H14" s="451"/>
      <c r="I14" s="440"/>
      <c r="J14" s="440"/>
      <c r="K14" s="440"/>
      <c r="L14" s="440"/>
      <c r="M14" s="440"/>
      <c r="N14" s="440"/>
      <c r="O14" s="440"/>
    </row>
    <row r="15" spans="1:15" ht="25.5">
      <c r="A15" s="452" t="s">
        <v>30</v>
      </c>
      <c r="B15" s="453" t="s">
        <v>133</v>
      </c>
      <c r="C15" s="453" t="s">
        <v>134</v>
      </c>
      <c r="D15" s="453" t="s">
        <v>135</v>
      </c>
      <c r="E15" s="857" t="s">
        <v>216</v>
      </c>
      <c r="F15" s="858"/>
      <c r="G15" s="859"/>
      <c r="H15" s="454" t="s">
        <v>217</v>
      </c>
      <c r="I15" s="440"/>
      <c r="J15" s="440"/>
      <c r="K15" s="440"/>
      <c r="L15" s="440"/>
      <c r="M15" s="440"/>
      <c r="N15" s="440"/>
      <c r="O15" s="440"/>
    </row>
    <row r="16" spans="1:15" ht="15">
      <c r="A16" s="455">
        <v>1</v>
      </c>
      <c r="B16" s="456">
        <v>2</v>
      </c>
      <c r="C16" s="456">
        <v>3</v>
      </c>
      <c r="D16" s="456">
        <v>4</v>
      </c>
      <c r="E16" s="860">
        <v>5</v>
      </c>
      <c r="F16" s="861"/>
      <c r="G16" s="862"/>
      <c r="H16" s="457">
        <v>6</v>
      </c>
      <c r="I16" s="440"/>
      <c r="J16" s="440"/>
      <c r="K16" s="440"/>
      <c r="L16" s="440"/>
      <c r="M16" s="440"/>
      <c r="N16" s="440"/>
      <c r="O16" s="440"/>
    </row>
    <row r="17" spans="1:15" ht="15">
      <c r="A17" s="458"/>
      <c r="B17" s="459" t="s">
        <v>138</v>
      </c>
      <c r="C17" s="456"/>
      <c r="D17" s="460"/>
      <c r="E17" s="863"/>
      <c r="F17" s="864"/>
      <c r="G17" s="865"/>
      <c r="H17" s="457"/>
      <c r="I17" s="440"/>
      <c r="J17" s="440"/>
      <c r="K17" s="440"/>
      <c r="L17" s="440"/>
      <c r="M17" s="440"/>
      <c r="N17" s="440"/>
      <c r="O17" s="440"/>
    </row>
    <row r="18" spans="1:15" ht="15">
      <c r="A18" s="461"/>
      <c r="B18" s="462" t="s">
        <v>218</v>
      </c>
      <c r="C18" s="463">
        <v>1</v>
      </c>
      <c r="D18" s="464"/>
      <c r="E18" s="866"/>
      <c r="F18" s="867"/>
      <c r="G18" s="868"/>
      <c r="H18" s="465"/>
      <c r="I18" s="440"/>
      <c r="J18" s="440"/>
      <c r="K18" s="440"/>
      <c r="L18" s="440"/>
      <c r="M18" s="440"/>
      <c r="N18" s="440"/>
      <c r="O18" s="440"/>
    </row>
    <row r="19" spans="1:15" ht="15">
      <c r="A19" s="461"/>
      <c r="B19" s="462" t="s">
        <v>139</v>
      </c>
      <c r="C19" s="463">
        <v>2</v>
      </c>
      <c r="D19" s="464"/>
      <c r="E19" s="866"/>
      <c r="F19" s="867"/>
      <c r="G19" s="868"/>
      <c r="H19" s="465"/>
      <c r="I19" s="440"/>
      <c r="J19" s="440"/>
      <c r="K19" s="440"/>
      <c r="L19" s="440"/>
      <c r="M19" s="440"/>
      <c r="N19" s="440"/>
      <c r="O19" s="440"/>
    </row>
    <row r="20" spans="1:15" ht="15">
      <c r="A20" s="461"/>
      <c r="B20" s="462" t="s">
        <v>219</v>
      </c>
      <c r="C20" s="463">
        <v>1</v>
      </c>
      <c r="D20" s="464"/>
      <c r="E20" s="866"/>
      <c r="F20" s="867"/>
      <c r="G20" s="868"/>
      <c r="H20" s="465"/>
      <c r="I20" s="440"/>
      <c r="J20" s="440"/>
      <c r="K20" s="440"/>
      <c r="L20" s="440"/>
      <c r="M20" s="440"/>
      <c r="N20" s="440"/>
      <c r="O20" s="440"/>
    </row>
    <row r="21" spans="1:15" ht="15">
      <c r="A21" s="461"/>
      <c r="B21" s="462" t="s">
        <v>220</v>
      </c>
      <c r="C21" s="466">
        <v>2</v>
      </c>
      <c r="D21" s="464"/>
      <c r="E21" s="866"/>
      <c r="F21" s="867"/>
      <c r="G21" s="868"/>
      <c r="H21" s="465"/>
      <c r="I21" s="440"/>
      <c r="J21" s="440"/>
      <c r="K21" s="440"/>
      <c r="L21" s="440"/>
      <c r="M21" s="440"/>
      <c r="N21" s="440"/>
      <c r="O21" s="440"/>
    </row>
    <row r="22" spans="1:15" ht="15">
      <c r="A22" s="461"/>
      <c r="B22" s="462" t="s">
        <v>221</v>
      </c>
      <c r="C22" s="463">
        <v>1</v>
      </c>
      <c r="D22" s="464"/>
      <c r="E22" s="866"/>
      <c r="F22" s="867"/>
      <c r="G22" s="868"/>
      <c r="H22" s="465"/>
      <c r="I22" s="440"/>
      <c r="J22" s="440"/>
      <c r="K22" s="440"/>
      <c r="L22" s="440"/>
      <c r="M22" s="440"/>
      <c r="N22" s="440"/>
      <c r="O22" s="440"/>
    </row>
    <row r="23" spans="1:15" ht="15">
      <c r="A23" s="461"/>
      <c r="B23" s="462" t="s">
        <v>222</v>
      </c>
      <c r="C23" s="467">
        <v>0.5</v>
      </c>
      <c r="D23" s="468"/>
      <c r="E23" s="869"/>
      <c r="F23" s="870"/>
      <c r="G23" s="871"/>
      <c r="H23" s="465"/>
      <c r="I23" s="440"/>
      <c r="J23" s="440"/>
      <c r="K23" s="440"/>
      <c r="L23" s="440"/>
      <c r="M23" s="440"/>
      <c r="N23" s="440"/>
      <c r="O23" s="440"/>
    </row>
    <row r="24" spans="1:15" ht="15">
      <c r="A24" s="872" t="s">
        <v>223</v>
      </c>
      <c r="B24" s="873"/>
      <c r="C24" s="874"/>
      <c r="D24" s="873"/>
      <c r="E24" s="873"/>
      <c r="F24" s="873"/>
      <c r="G24" s="873"/>
      <c r="H24" s="469"/>
      <c r="I24" s="440"/>
      <c r="J24" s="440"/>
      <c r="K24" s="440"/>
      <c r="L24" s="440"/>
      <c r="M24" s="440"/>
      <c r="N24" s="440"/>
      <c r="O24" s="440"/>
    </row>
    <row r="25" spans="1:15" ht="24">
      <c r="A25" s="470">
        <v>1</v>
      </c>
      <c r="B25" s="471" t="s">
        <v>224</v>
      </c>
      <c r="C25" s="472"/>
      <c r="D25" s="473" t="s">
        <v>225</v>
      </c>
      <c r="E25" s="875" t="s">
        <v>226</v>
      </c>
      <c r="F25" s="876"/>
      <c r="G25" s="877"/>
      <c r="H25" s="474">
        <f>(668*C29*C30+49*C19/1000)*C31*C32*C34</f>
        <v>4180.33</v>
      </c>
      <c r="I25" s="440"/>
      <c r="J25" s="440"/>
      <c r="K25" s="440"/>
      <c r="L25" s="440"/>
      <c r="M25" s="440"/>
      <c r="N25" s="440"/>
      <c r="O25" s="440"/>
    </row>
    <row r="26" spans="1:15" ht="15">
      <c r="A26" s="475"/>
      <c r="B26" s="476" t="s">
        <v>227</v>
      </c>
      <c r="C26" s="477">
        <f>C18</f>
        <v>1</v>
      </c>
      <c r="D26" s="466" t="s">
        <v>228</v>
      </c>
      <c r="E26" s="878"/>
      <c r="F26" s="879"/>
      <c r="G26" s="880"/>
      <c r="H26" s="474"/>
      <c r="I26" s="440"/>
      <c r="J26" s="440"/>
      <c r="K26" s="440"/>
      <c r="L26" s="440"/>
      <c r="M26" s="440"/>
      <c r="N26" s="440"/>
      <c r="O26" s="440"/>
    </row>
    <row r="27" spans="1:15" ht="15">
      <c r="A27" s="475"/>
      <c r="B27" s="476" t="s">
        <v>229</v>
      </c>
      <c r="C27" s="478">
        <f>C19/1000</f>
        <v>0.002</v>
      </c>
      <c r="D27" s="466"/>
      <c r="E27" s="878"/>
      <c r="F27" s="879"/>
      <c r="G27" s="880"/>
      <c r="H27" s="479"/>
      <c r="I27" s="440"/>
      <c r="J27" s="440"/>
      <c r="K27" s="440"/>
      <c r="L27" s="440"/>
      <c r="M27" s="440"/>
      <c r="N27" s="440"/>
      <c r="O27" s="440"/>
    </row>
    <row r="28" spans="1:15" ht="15">
      <c r="A28" s="475"/>
      <c r="B28" s="476" t="s">
        <v>230</v>
      </c>
      <c r="C28" s="480">
        <f>C21</f>
        <v>2</v>
      </c>
      <c r="D28" s="466"/>
      <c r="E28" s="878"/>
      <c r="F28" s="879"/>
      <c r="G28" s="880"/>
      <c r="H28" s="479"/>
      <c r="I28" s="440"/>
      <c r="J28" s="440"/>
      <c r="K28" s="440"/>
      <c r="L28" s="440"/>
      <c r="M28" s="440"/>
      <c r="N28" s="440"/>
      <c r="O28" s="440"/>
    </row>
    <row r="29" spans="1:15" ht="15">
      <c r="A29" s="475"/>
      <c r="B29" s="476" t="s">
        <v>231</v>
      </c>
      <c r="C29" s="481">
        <f>1+0.1*(C26-1)</f>
        <v>1</v>
      </c>
      <c r="D29" s="466"/>
      <c r="E29" s="878"/>
      <c r="F29" s="879"/>
      <c r="G29" s="880"/>
      <c r="H29" s="479"/>
      <c r="I29" s="440"/>
      <c r="J29" s="440"/>
      <c r="K29" s="440"/>
      <c r="L29" s="440"/>
      <c r="M29" s="440"/>
      <c r="N29" s="440"/>
      <c r="O29" s="440"/>
    </row>
    <row r="30" spans="1:15" ht="15">
      <c r="A30" s="475"/>
      <c r="B30" s="476" t="s">
        <v>232</v>
      </c>
      <c r="C30" s="482">
        <f>ROUND((1-0.4*(2-C19/1000)),2)</f>
        <v>0.2</v>
      </c>
      <c r="D30" s="466"/>
      <c r="E30" s="878"/>
      <c r="F30" s="879"/>
      <c r="G30" s="880"/>
      <c r="H30" s="479"/>
      <c r="I30" s="440"/>
      <c r="J30" s="440"/>
      <c r="K30" s="440"/>
      <c r="L30" s="440"/>
      <c r="M30" s="440"/>
      <c r="N30" s="440"/>
      <c r="O30" s="440"/>
    </row>
    <row r="31" spans="1:15" ht="15">
      <c r="A31" s="475"/>
      <c r="B31" s="476" t="s">
        <v>233</v>
      </c>
      <c r="C31" s="481">
        <v>1.3</v>
      </c>
      <c r="D31" s="483"/>
      <c r="E31" s="878"/>
      <c r="F31" s="879"/>
      <c r="G31" s="880"/>
      <c r="H31" s="479"/>
      <c r="I31" s="440"/>
      <c r="J31" s="440"/>
      <c r="K31" s="440"/>
      <c r="L31" s="440"/>
      <c r="M31" s="440"/>
      <c r="N31" s="440"/>
      <c r="O31" s="440"/>
    </row>
    <row r="32" spans="1:15" ht="15">
      <c r="A32" s="475"/>
      <c r="B32" s="476" t="s">
        <v>234</v>
      </c>
      <c r="C32" s="484">
        <v>1.94</v>
      </c>
      <c r="D32" s="485" t="s">
        <v>235</v>
      </c>
      <c r="E32" s="878"/>
      <c r="F32" s="879"/>
      <c r="G32" s="880"/>
      <c r="H32" s="479"/>
      <c r="I32" s="440"/>
      <c r="J32" s="440"/>
      <c r="K32" s="440"/>
      <c r="L32" s="440"/>
      <c r="M32" s="440"/>
      <c r="N32" s="440"/>
      <c r="O32" s="440"/>
    </row>
    <row r="33" spans="1:15" ht="15">
      <c r="A33" s="475"/>
      <c r="B33" s="483"/>
      <c r="C33" s="484"/>
      <c r="D33" s="476" t="s">
        <v>236</v>
      </c>
      <c r="E33" s="878"/>
      <c r="F33" s="879"/>
      <c r="G33" s="880"/>
      <c r="H33" s="479"/>
      <c r="I33" s="440"/>
      <c r="J33" s="440"/>
      <c r="K33" s="440"/>
      <c r="L33" s="440"/>
      <c r="M33" s="440"/>
      <c r="N33" s="440"/>
      <c r="O33" s="440"/>
    </row>
    <row r="34" spans="1:15" ht="15">
      <c r="A34" s="475"/>
      <c r="B34" s="486" t="s">
        <v>237</v>
      </c>
      <c r="C34" s="487">
        <v>12.397674</v>
      </c>
      <c r="D34" s="466"/>
      <c r="E34" s="878"/>
      <c r="F34" s="879"/>
      <c r="G34" s="880"/>
      <c r="H34" s="479"/>
      <c r="I34" s="440"/>
      <c r="J34" s="440"/>
      <c r="K34" s="440"/>
      <c r="L34" s="440"/>
      <c r="M34" s="440"/>
      <c r="N34" s="440"/>
      <c r="O34" s="440"/>
    </row>
    <row r="35" spans="1:15" ht="15">
      <c r="A35" s="475"/>
      <c r="B35" s="488" t="s">
        <v>238</v>
      </c>
      <c r="C35" s="489"/>
      <c r="D35" s="490"/>
      <c r="E35" s="881"/>
      <c r="F35" s="882"/>
      <c r="G35" s="883"/>
      <c r="H35" s="491">
        <f>SUM(H25:H34)</f>
        <v>4180.33</v>
      </c>
      <c r="I35" s="440"/>
      <c r="J35" s="440"/>
      <c r="K35" s="440"/>
      <c r="L35" s="440"/>
      <c r="M35" s="440"/>
      <c r="N35" s="440"/>
      <c r="O35" s="440"/>
    </row>
    <row r="36" spans="1:15" ht="15">
      <c r="A36" s="890" t="s">
        <v>239</v>
      </c>
      <c r="B36" s="891"/>
      <c r="C36" s="891"/>
      <c r="D36" s="891"/>
      <c r="E36" s="891"/>
      <c r="F36" s="891"/>
      <c r="G36" s="892"/>
      <c r="H36" s="492">
        <f>H35</f>
        <v>4180.33</v>
      </c>
      <c r="I36" s="440"/>
      <c r="J36" s="440"/>
      <c r="K36" s="440"/>
      <c r="L36" s="440"/>
      <c r="M36" s="440"/>
      <c r="N36" s="440"/>
      <c r="O36" s="440"/>
    </row>
    <row r="37" spans="1:15" ht="15">
      <c r="A37" s="893" t="s">
        <v>240</v>
      </c>
      <c r="B37" s="894"/>
      <c r="C37" s="894"/>
      <c r="D37" s="894"/>
      <c r="E37" s="894"/>
      <c r="F37" s="894"/>
      <c r="G37" s="894"/>
      <c r="H37" s="493"/>
      <c r="I37" s="440"/>
      <c r="J37" s="440"/>
      <c r="K37" s="440"/>
      <c r="L37" s="440"/>
      <c r="M37" s="440"/>
      <c r="N37" s="440"/>
      <c r="O37" s="440"/>
    </row>
    <row r="38" spans="1:15" ht="24">
      <c r="A38" s="494">
        <v>2</v>
      </c>
      <c r="B38" s="495" t="s">
        <v>241</v>
      </c>
      <c r="C38" s="496"/>
      <c r="D38" s="497" t="s">
        <v>242</v>
      </c>
      <c r="E38" s="895" t="s">
        <v>243</v>
      </c>
      <c r="F38" s="896"/>
      <c r="G38" s="897"/>
      <c r="H38" s="498"/>
      <c r="I38" s="440"/>
      <c r="J38" s="440"/>
      <c r="K38" s="440"/>
      <c r="L38" s="440"/>
      <c r="M38" s="440"/>
      <c r="N38" s="440"/>
      <c r="O38" s="440"/>
    </row>
    <row r="39" spans="1:15" ht="24">
      <c r="A39" s="499"/>
      <c r="B39" s="500" t="s">
        <v>244</v>
      </c>
      <c r="C39" s="501"/>
      <c r="D39" s="463" t="s">
        <v>245</v>
      </c>
      <c r="E39" s="898"/>
      <c r="F39" s="899"/>
      <c r="G39" s="900"/>
      <c r="H39" s="502">
        <f>ROUND(((1363*C42*C43*C45+3431*C41*C46)*C47*C49),2)</f>
        <v>5050.15</v>
      </c>
      <c r="I39" s="440"/>
      <c r="J39" s="440"/>
      <c r="K39" s="440"/>
      <c r="L39" s="440"/>
      <c r="M39" s="440"/>
      <c r="N39" s="440"/>
      <c r="O39" s="440"/>
    </row>
    <row r="40" spans="1:15" ht="15">
      <c r="A40" s="503"/>
      <c r="B40" s="504" t="s">
        <v>246</v>
      </c>
      <c r="C40" s="505">
        <v>2</v>
      </c>
      <c r="D40" s="506"/>
      <c r="E40" s="898"/>
      <c r="F40" s="899"/>
      <c r="G40" s="900"/>
      <c r="H40" s="502"/>
      <c r="I40" s="440"/>
      <c r="J40" s="440"/>
      <c r="K40" s="440"/>
      <c r="L40" s="440"/>
      <c r="M40" s="440"/>
      <c r="N40" s="440"/>
      <c r="O40" s="440"/>
    </row>
    <row r="41" spans="1:15" ht="15">
      <c r="A41" s="507"/>
      <c r="B41" s="508" t="s">
        <v>247</v>
      </c>
      <c r="C41" s="509">
        <f>C23/100</f>
        <v>0.005</v>
      </c>
      <c r="D41" s="510"/>
      <c r="E41" s="898"/>
      <c r="F41" s="899"/>
      <c r="G41" s="900"/>
      <c r="H41" s="511"/>
      <c r="I41" s="440"/>
      <c r="J41" s="440"/>
      <c r="K41" s="440"/>
      <c r="L41" s="440"/>
      <c r="M41" s="440"/>
      <c r="N41" s="440"/>
      <c r="O41" s="440"/>
    </row>
    <row r="42" spans="1:15" ht="15">
      <c r="A42" s="507"/>
      <c r="B42" s="508" t="s">
        <v>248</v>
      </c>
      <c r="C42" s="512">
        <f>ROUND((1-0.9*(1-C19/1000)),2)</f>
        <v>0.1</v>
      </c>
      <c r="D42" s="510"/>
      <c r="E42" s="898"/>
      <c r="F42" s="899"/>
      <c r="G42" s="900"/>
      <c r="H42" s="511"/>
      <c r="I42" s="440"/>
      <c r="J42" s="440"/>
      <c r="K42" s="440"/>
      <c r="L42" s="440"/>
      <c r="M42" s="440"/>
      <c r="N42" s="440"/>
      <c r="O42" s="440"/>
    </row>
    <row r="43" spans="1:15" ht="15">
      <c r="A43" s="507"/>
      <c r="B43" s="513" t="s">
        <v>249</v>
      </c>
      <c r="C43" s="514">
        <f>1+0.6*(C44-1)</f>
        <v>1</v>
      </c>
      <c r="D43" s="510"/>
      <c r="E43" s="898"/>
      <c r="F43" s="899"/>
      <c r="G43" s="900"/>
      <c r="H43" s="502"/>
      <c r="I43" s="440"/>
      <c r="J43" s="440"/>
      <c r="K43" s="440"/>
      <c r="L43" s="440"/>
      <c r="M43" s="440"/>
      <c r="N43" s="440"/>
      <c r="O43" s="440"/>
    </row>
    <row r="44" spans="1:15" ht="15">
      <c r="A44" s="507"/>
      <c r="B44" s="515" t="s">
        <v>250</v>
      </c>
      <c r="C44" s="516">
        <f>C22</f>
        <v>1</v>
      </c>
      <c r="D44" s="510"/>
      <c r="E44" s="898"/>
      <c r="F44" s="899"/>
      <c r="G44" s="900"/>
      <c r="H44" s="502"/>
      <c r="I44" s="440"/>
      <c r="J44" s="440"/>
      <c r="K44" s="440"/>
      <c r="L44" s="440"/>
      <c r="M44" s="440"/>
      <c r="N44" s="440"/>
      <c r="O44" s="440"/>
    </row>
    <row r="45" spans="1:15" ht="15">
      <c r="A45" s="507"/>
      <c r="B45" s="515" t="s">
        <v>251</v>
      </c>
      <c r="C45" s="517">
        <f>1+0.1*(C40-1)</f>
        <v>1.1</v>
      </c>
      <c r="D45" s="510"/>
      <c r="E45" s="898"/>
      <c r="F45" s="899"/>
      <c r="G45" s="900"/>
      <c r="H45" s="502"/>
      <c r="I45" s="440"/>
      <c r="J45" s="440"/>
      <c r="K45" s="440"/>
      <c r="L45" s="440"/>
      <c r="M45" s="440"/>
      <c r="N45" s="440"/>
      <c r="O45" s="440"/>
    </row>
    <row r="46" spans="1:15" ht="15">
      <c r="A46" s="507"/>
      <c r="B46" s="508" t="s">
        <v>252</v>
      </c>
      <c r="C46" s="517">
        <v>3.5</v>
      </c>
      <c r="D46" s="510"/>
      <c r="E46" s="898"/>
      <c r="F46" s="899"/>
      <c r="G46" s="900"/>
      <c r="H46" s="502"/>
      <c r="I46" s="440"/>
      <c r="J46" s="440"/>
      <c r="K46" s="440"/>
      <c r="L46" s="440"/>
      <c r="M46" s="440"/>
      <c r="N46" s="440"/>
      <c r="O46" s="440"/>
    </row>
    <row r="47" spans="1:15" ht="15">
      <c r="A47" s="507"/>
      <c r="B47" s="518" t="s">
        <v>234</v>
      </c>
      <c r="C47" s="519">
        <v>1.94</v>
      </c>
      <c r="D47" s="520" t="s">
        <v>235</v>
      </c>
      <c r="E47" s="898"/>
      <c r="F47" s="899"/>
      <c r="G47" s="900"/>
      <c r="H47" s="502"/>
      <c r="I47" s="440"/>
      <c r="J47" s="440"/>
      <c r="K47" s="440"/>
      <c r="L47" s="440"/>
      <c r="M47" s="440"/>
      <c r="N47" s="440"/>
      <c r="O47" s="440"/>
    </row>
    <row r="48" spans="1:15" ht="15">
      <c r="A48" s="507"/>
      <c r="B48" s="521"/>
      <c r="C48" s="519"/>
      <c r="D48" s="463" t="s">
        <v>236</v>
      </c>
      <c r="E48" s="898"/>
      <c r="F48" s="899"/>
      <c r="G48" s="900"/>
      <c r="H48" s="502"/>
      <c r="I48" s="440"/>
      <c r="J48" s="440"/>
      <c r="K48" s="440"/>
      <c r="L48" s="440"/>
      <c r="M48" s="440"/>
      <c r="N48" s="440"/>
      <c r="O48" s="440"/>
    </row>
    <row r="49" spans="1:15" ht="15">
      <c r="A49" s="507"/>
      <c r="B49" s="521" t="s">
        <v>237</v>
      </c>
      <c r="C49" s="522">
        <v>12.397674</v>
      </c>
      <c r="D49" s="510"/>
      <c r="E49" s="898"/>
      <c r="F49" s="899"/>
      <c r="G49" s="900"/>
      <c r="H49" s="502"/>
      <c r="I49" s="440"/>
      <c r="J49" s="440"/>
      <c r="K49" s="440"/>
      <c r="L49" s="440"/>
      <c r="M49" s="440"/>
      <c r="N49" s="440"/>
      <c r="O49" s="440"/>
    </row>
    <row r="50" spans="1:15" ht="15">
      <c r="A50" s="499"/>
      <c r="B50" s="500" t="s">
        <v>253</v>
      </c>
      <c r="C50" s="523"/>
      <c r="D50" s="463" t="s">
        <v>254</v>
      </c>
      <c r="E50" s="898" t="s">
        <v>255</v>
      </c>
      <c r="F50" s="899"/>
      <c r="G50" s="900"/>
      <c r="H50" s="502">
        <f>ROUND(((882*C53+11*C52*C54)*C56*C58),2)</f>
        <v>4772.3</v>
      </c>
      <c r="I50" s="440"/>
      <c r="J50" s="440"/>
      <c r="K50" s="440"/>
      <c r="L50" s="440"/>
      <c r="M50" s="440"/>
      <c r="N50" s="440"/>
      <c r="O50" s="440"/>
    </row>
    <row r="51" spans="1:15" ht="15">
      <c r="A51" s="503"/>
      <c r="B51" s="504" t="s">
        <v>221</v>
      </c>
      <c r="C51" s="524">
        <f>C22</f>
        <v>1</v>
      </c>
      <c r="D51" s="525"/>
      <c r="E51" s="898"/>
      <c r="F51" s="899"/>
      <c r="G51" s="900"/>
      <c r="H51" s="502"/>
      <c r="I51" s="440"/>
      <c r="J51" s="440"/>
      <c r="K51" s="440"/>
      <c r="L51" s="440"/>
      <c r="M51" s="440"/>
      <c r="N51" s="440"/>
      <c r="O51" s="440"/>
    </row>
    <row r="52" spans="1:15" ht="15">
      <c r="A52" s="507"/>
      <c r="B52" s="508" t="s">
        <v>256</v>
      </c>
      <c r="C52" s="526">
        <f>C23*2</f>
        <v>1</v>
      </c>
      <c r="D52" s="510"/>
      <c r="E52" s="898"/>
      <c r="F52" s="899"/>
      <c r="G52" s="900"/>
      <c r="H52" s="502"/>
      <c r="I52" s="440"/>
      <c r="J52" s="440"/>
      <c r="K52" s="440"/>
      <c r="L52" s="440"/>
      <c r="M52" s="440"/>
      <c r="N52" s="440"/>
      <c r="O52" s="440"/>
    </row>
    <row r="53" spans="1:15" ht="15">
      <c r="A53" s="507"/>
      <c r="B53" s="508" t="s">
        <v>257</v>
      </c>
      <c r="C53" s="526">
        <f>ROUND((1-0.02*(40-C23)),2)</f>
        <v>0.21</v>
      </c>
      <c r="D53" s="510"/>
      <c r="E53" s="898"/>
      <c r="F53" s="899"/>
      <c r="G53" s="900"/>
      <c r="H53" s="502"/>
      <c r="I53" s="440"/>
      <c r="J53" s="440"/>
      <c r="K53" s="440"/>
      <c r="L53" s="440"/>
      <c r="M53" s="440"/>
      <c r="N53" s="440"/>
      <c r="O53" s="440"/>
    </row>
    <row r="54" spans="1:15" ht="15">
      <c r="A54" s="507"/>
      <c r="B54" s="508" t="s">
        <v>258</v>
      </c>
      <c r="C54" s="527">
        <f>1+0.1*(C55-1)</f>
        <v>1.2</v>
      </c>
      <c r="D54" s="528"/>
      <c r="E54" s="898"/>
      <c r="F54" s="899"/>
      <c r="G54" s="900"/>
      <c r="H54" s="502"/>
      <c r="I54" s="440"/>
      <c r="J54" s="440"/>
      <c r="K54" s="440"/>
      <c r="L54" s="440"/>
      <c r="M54" s="440"/>
      <c r="N54" s="440"/>
      <c r="O54" s="440"/>
    </row>
    <row r="55" spans="1:15" ht="15">
      <c r="A55" s="507"/>
      <c r="B55" s="508" t="s">
        <v>259</v>
      </c>
      <c r="C55" s="524">
        <v>3</v>
      </c>
      <c r="D55" s="528"/>
      <c r="E55" s="898"/>
      <c r="F55" s="899"/>
      <c r="G55" s="900"/>
      <c r="H55" s="502"/>
      <c r="I55" s="440"/>
      <c r="J55" s="440"/>
      <c r="K55" s="440"/>
      <c r="L55" s="440"/>
      <c r="M55" s="440"/>
      <c r="N55" s="440"/>
      <c r="O55" s="440"/>
    </row>
    <row r="56" spans="1:15" ht="15">
      <c r="A56" s="507"/>
      <c r="B56" s="518" t="s">
        <v>234</v>
      </c>
      <c r="C56" s="519">
        <v>1.94</v>
      </c>
      <c r="D56" s="520" t="s">
        <v>235</v>
      </c>
      <c r="E56" s="898"/>
      <c r="F56" s="899"/>
      <c r="G56" s="900"/>
      <c r="H56" s="502"/>
      <c r="I56" s="440"/>
      <c r="J56" s="440"/>
      <c r="K56" s="440"/>
      <c r="L56" s="440"/>
      <c r="M56" s="440"/>
      <c r="N56" s="440"/>
      <c r="O56" s="440"/>
    </row>
    <row r="57" spans="1:15" ht="15">
      <c r="A57" s="507"/>
      <c r="B57" s="521"/>
      <c r="C57" s="519"/>
      <c r="D57" s="463" t="s">
        <v>236</v>
      </c>
      <c r="E57" s="898"/>
      <c r="F57" s="899"/>
      <c r="G57" s="900"/>
      <c r="H57" s="502"/>
      <c r="I57" s="440"/>
      <c r="J57" s="440"/>
      <c r="K57" s="440"/>
      <c r="L57" s="440"/>
      <c r="M57" s="440"/>
      <c r="N57" s="440"/>
      <c r="O57" s="440"/>
    </row>
    <row r="58" spans="1:15" ht="15">
      <c r="A58" s="507"/>
      <c r="B58" s="521" t="s">
        <v>237</v>
      </c>
      <c r="C58" s="522">
        <v>12.397674</v>
      </c>
      <c r="D58" s="510"/>
      <c r="E58" s="898"/>
      <c r="F58" s="899"/>
      <c r="G58" s="900"/>
      <c r="H58" s="502"/>
      <c r="I58" s="440"/>
      <c r="J58" s="440"/>
      <c r="K58" s="440"/>
      <c r="L58" s="440"/>
      <c r="M58" s="440"/>
      <c r="N58" s="440"/>
      <c r="O58" s="440"/>
    </row>
    <row r="59" spans="1:15" ht="15">
      <c r="A59" s="529"/>
      <c r="B59" s="530" t="s">
        <v>260</v>
      </c>
      <c r="C59" s="531"/>
      <c r="D59" s="532"/>
      <c r="E59" s="901"/>
      <c r="F59" s="902"/>
      <c r="G59" s="903"/>
      <c r="H59" s="533">
        <f>SUM(H39:H58)</f>
        <v>9822.45</v>
      </c>
      <c r="I59" s="440"/>
      <c r="J59" s="440"/>
      <c r="K59" s="440"/>
      <c r="L59" s="440"/>
      <c r="M59" s="440"/>
      <c r="N59" s="440"/>
      <c r="O59" s="440"/>
    </row>
    <row r="60" spans="1:15" ht="15">
      <c r="A60" s="494">
        <v>3</v>
      </c>
      <c r="B60" s="495" t="s">
        <v>261</v>
      </c>
      <c r="C60" s="534"/>
      <c r="D60" s="535" t="s">
        <v>262</v>
      </c>
      <c r="E60" s="895" t="s">
        <v>263</v>
      </c>
      <c r="F60" s="896"/>
      <c r="G60" s="897"/>
      <c r="H60" s="498">
        <f>ROUND((C63*C61*C62*C64*C66),2)</f>
        <v>27560.03</v>
      </c>
      <c r="I60" s="440"/>
      <c r="J60" s="440"/>
      <c r="K60" s="440"/>
      <c r="L60" s="440"/>
      <c r="M60" s="440"/>
      <c r="N60" s="440"/>
      <c r="O60" s="440"/>
    </row>
    <row r="61" spans="1:15" ht="15">
      <c r="A61" s="536"/>
      <c r="B61" s="537" t="s">
        <v>264</v>
      </c>
      <c r="C61" s="538">
        <v>1</v>
      </c>
      <c r="D61" s="539" t="s">
        <v>265</v>
      </c>
      <c r="E61" s="898"/>
      <c r="F61" s="899"/>
      <c r="G61" s="900"/>
      <c r="H61" s="502"/>
      <c r="I61" s="440"/>
      <c r="J61" s="440"/>
      <c r="K61" s="440"/>
      <c r="L61" s="440"/>
      <c r="M61" s="440"/>
      <c r="N61" s="440"/>
      <c r="O61" s="440"/>
    </row>
    <row r="62" spans="1:15" ht="15">
      <c r="A62" s="536"/>
      <c r="B62" s="537" t="s">
        <v>266</v>
      </c>
      <c r="C62" s="538">
        <v>10</v>
      </c>
      <c r="D62" s="539"/>
      <c r="E62" s="898"/>
      <c r="F62" s="899"/>
      <c r="G62" s="900"/>
      <c r="H62" s="502"/>
      <c r="I62" s="440"/>
      <c r="J62" s="440"/>
      <c r="K62" s="440"/>
      <c r="L62" s="440"/>
      <c r="M62" s="440"/>
      <c r="N62" s="440"/>
      <c r="O62" s="440"/>
    </row>
    <row r="63" spans="1:15" ht="15">
      <c r="A63" s="507"/>
      <c r="B63" s="537" t="s">
        <v>267</v>
      </c>
      <c r="C63" s="464">
        <v>130</v>
      </c>
      <c r="D63" s="540"/>
      <c r="E63" s="898"/>
      <c r="F63" s="899"/>
      <c r="G63" s="900"/>
      <c r="H63" s="502"/>
      <c r="I63" s="440"/>
      <c r="J63" s="440"/>
      <c r="K63" s="440"/>
      <c r="L63" s="440"/>
      <c r="M63" s="440"/>
      <c r="N63" s="440"/>
      <c r="O63" s="440"/>
    </row>
    <row r="64" spans="1:15" ht="15">
      <c r="A64" s="507"/>
      <c r="B64" s="476" t="s">
        <v>234</v>
      </c>
      <c r="C64" s="541">
        <v>1.71</v>
      </c>
      <c r="D64" s="542" t="s">
        <v>235</v>
      </c>
      <c r="E64" s="898"/>
      <c r="F64" s="899"/>
      <c r="G64" s="900"/>
      <c r="H64" s="502"/>
      <c r="I64" s="440"/>
      <c r="J64" s="440"/>
      <c r="K64" s="440"/>
      <c r="L64" s="440"/>
      <c r="M64" s="440"/>
      <c r="N64" s="440"/>
      <c r="O64" s="440"/>
    </row>
    <row r="65" spans="1:15" ht="15">
      <c r="A65" s="507"/>
      <c r="B65" s="543"/>
      <c r="C65" s="541"/>
      <c r="D65" s="544" t="s">
        <v>236</v>
      </c>
      <c r="E65" s="898"/>
      <c r="F65" s="899"/>
      <c r="G65" s="900"/>
      <c r="H65" s="502"/>
      <c r="I65" s="440"/>
      <c r="J65" s="440"/>
      <c r="K65" s="440"/>
      <c r="L65" s="440"/>
      <c r="M65" s="440"/>
      <c r="N65" s="440"/>
      <c r="O65" s="440"/>
    </row>
    <row r="66" spans="1:15" ht="15">
      <c r="A66" s="507"/>
      <c r="B66" s="543" t="s">
        <v>237</v>
      </c>
      <c r="C66" s="545">
        <v>12.397674</v>
      </c>
      <c r="D66" s="540"/>
      <c r="E66" s="898"/>
      <c r="F66" s="899"/>
      <c r="G66" s="900"/>
      <c r="H66" s="502"/>
      <c r="I66" s="440"/>
      <c r="J66" s="440"/>
      <c r="K66" s="440"/>
      <c r="L66" s="440"/>
      <c r="M66" s="440"/>
      <c r="N66" s="440"/>
      <c r="O66" s="440"/>
    </row>
    <row r="67" spans="1:15" ht="15">
      <c r="A67" s="529"/>
      <c r="B67" s="530" t="s">
        <v>268</v>
      </c>
      <c r="C67" s="546"/>
      <c r="D67" s="547"/>
      <c r="E67" s="901"/>
      <c r="F67" s="902"/>
      <c r="G67" s="903"/>
      <c r="H67" s="533">
        <f>SUM(H60:H66)</f>
        <v>27560.03</v>
      </c>
      <c r="I67" s="440"/>
      <c r="J67" s="440"/>
      <c r="K67" s="440"/>
      <c r="L67" s="440"/>
      <c r="M67" s="440"/>
      <c r="N67" s="440"/>
      <c r="O67" s="440"/>
    </row>
    <row r="68" spans="1:15" ht="15">
      <c r="A68" s="893" t="s">
        <v>269</v>
      </c>
      <c r="B68" s="894"/>
      <c r="C68" s="894"/>
      <c r="D68" s="894"/>
      <c r="E68" s="894"/>
      <c r="F68" s="894"/>
      <c r="G68" s="904"/>
      <c r="H68" s="548">
        <f>+H59+H67</f>
        <v>37382.48</v>
      </c>
      <c r="I68" s="440"/>
      <c r="J68" s="440"/>
      <c r="K68" s="440"/>
      <c r="L68" s="440"/>
      <c r="M68" s="440"/>
      <c r="N68" s="440"/>
      <c r="O68" s="440"/>
    </row>
    <row r="69" spans="1:15" ht="15">
      <c r="A69" s="549">
        <v>4</v>
      </c>
      <c r="B69" s="550" t="s">
        <v>270</v>
      </c>
      <c r="C69" s="551"/>
      <c r="D69" s="551"/>
      <c r="E69" s="884"/>
      <c r="F69" s="885"/>
      <c r="G69" s="886"/>
      <c r="H69" s="552">
        <f>H36+H68</f>
        <v>41562.81</v>
      </c>
      <c r="I69" s="440"/>
      <c r="J69" s="440"/>
      <c r="K69" s="440"/>
      <c r="L69" s="440"/>
      <c r="M69" s="440"/>
      <c r="N69" s="440"/>
      <c r="O69" s="440"/>
    </row>
    <row r="70" spans="1:15" ht="15">
      <c r="A70" s="549">
        <v>5</v>
      </c>
      <c r="B70" s="550" t="s">
        <v>158</v>
      </c>
      <c r="C70" s="551"/>
      <c r="D70" s="551"/>
      <c r="E70" s="884"/>
      <c r="F70" s="885"/>
      <c r="G70" s="886"/>
      <c r="H70" s="553">
        <f>ROUND(H69,2)</f>
        <v>41562.81</v>
      </c>
      <c r="I70" s="440"/>
      <c r="J70" s="440"/>
      <c r="K70" s="440"/>
      <c r="L70" s="440"/>
      <c r="M70" s="440"/>
      <c r="N70" s="440"/>
      <c r="O70" s="440"/>
    </row>
    <row r="71" spans="1:15" ht="33.75">
      <c r="A71" s="549">
        <v>6</v>
      </c>
      <c r="B71" s="554" t="s">
        <v>16</v>
      </c>
      <c r="C71" s="555">
        <v>0.18</v>
      </c>
      <c r="D71" s="556" t="s">
        <v>271</v>
      </c>
      <c r="E71" s="557">
        <f>H70</f>
        <v>41562.81</v>
      </c>
      <c r="F71" s="558" t="s">
        <v>141</v>
      </c>
      <c r="G71" s="558">
        <v>0.18</v>
      </c>
      <c r="H71" s="548">
        <f>ROUND((H70*G71),2)</f>
        <v>7481.31</v>
      </c>
      <c r="I71" s="440"/>
      <c r="J71" s="440"/>
      <c r="K71" s="440"/>
      <c r="L71" s="440"/>
      <c r="M71" s="440"/>
      <c r="N71" s="440"/>
      <c r="O71" s="440"/>
    </row>
    <row r="72" spans="1:15" ht="15">
      <c r="A72" s="887" t="s">
        <v>272</v>
      </c>
      <c r="B72" s="888"/>
      <c r="C72" s="888"/>
      <c r="D72" s="888"/>
      <c r="E72" s="888"/>
      <c r="F72" s="888"/>
      <c r="G72" s="889"/>
      <c r="H72" s="559">
        <f>H70+H71</f>
        <v>49044.12</v>
      </c>
      <c r="I72" s="440"/>
      <c r="J72" s="440"/>
      <c r="K72" s="440"/>
      <c r="L72" s="440"/>
      <c r="M72" s="440"/>
      <c r="N72" s="440"/>
      <c r="O72" s="440"/>
    </row>
    <row r="75" spans="2:8" ht="15">
      <c r="B75" s="561" t="s">
        <v>274</v>
      </c>
      <c r="C75" s="560"/>
      <c r="D75" s="560" t="s">
        <v>275</v>
      </c>
      <c r="E75" s="440"/>
      <c r="F75" s="440"/>
      <c r="G75" s="440"/>
      <c r="H75" s="440"/>
    </row>
    <row r="76" spans="2:8" ht="15">
      <c r="B76" s="439"/>
      <c r="C76" s="560"/>
      <c r="D76" s="560"/>
      <c r="E76" s="440"/>
      <c r="F76" s="440"/>
      <c r="G76" s="440"/>
      <c r="H76" s="440"/>
    </row>
    <row r="77" spans="2:8" ht="15">
      <c r="B77" s="439"/>
      <c r="C77" s="560"/>
      <c r="D77" s="560"/>
      <c r="E77" s="440"/>
      <c r="F77" s="440"/>
      <c r="G77" s="440"/>
      <c r="H77" s="440"/>
    </row>
    <row r="78" spans="2:8" ht="15">
      <c r="B78" s="562" t="s">
        <v>276</v>
      </c>
      <c r="C78" s="560"/>
      <c r="D78" s="560" t="s">
        <v>275</v>
      </c>
      <c r="E78" s="440"/>
      <c r="F78" s="440"/>
      <c r="G78" s="440"/>
      <c r="H78" s="440"/>
    </row>
  </sheetData>
  <sheetProtection/>
  <mergeCells count="27">
    <mergeCell ref="E69:G69"/>
    <mergeCell ref="E70:G70"/>
    <mergeCell ref="A72:G72"/>
    <mergeCell ref="A36:G36"/>
    <mergeCell ref="A37:G37"/>
    <mergeCell ref="E38:G49"/>
    <mergeCell ref="E50:G59"/>
    <mergeCell ref="E60:G67"/>
    <mergeCell ref="A68:G68"/>
    <mergeCell ref="B14:G14"/>
    <mergeCell ref="E15:G15"/>
    <mergeCell ref="E16:G16"/>
    <mergeCell ref="E17:G23"/>
    <mergeCell ref="A24:G24"/>
    <mergeCell ref="E25:G35"/>
    <mergeCell ref="B6:C6"/>
    <mergeCell ref="F6:O6"/>
    <mergeCell ref="A10:H10"/>
    <mergeCell ref="A11:H11"/>
    <mergeCell ref="B12:H12"/>
    <mergeCell ref="B13:G13"/>
    <mergeCell ref="B2:C2"/>
    <mergeCell ref="D3:H3"/>
    <mergeCell ref="B4:D4"/>
    <mergeCell ref="F4:O4"/>
    <mergeCell ref="B5:C5"/>
    <mergeCell ref="F5:O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O50"/>
  <sheetViews>
    <sheetView view="pageBreakPreview" zoomScaleSheetLayoutView="100" zoomScalePageLayoutView="0" workbookViewId="0" topLeftCell="A34">
      <selection activeCell="I27" sqref="I27"/>
    </sheetView>
  </sheetViews>
  <sheetFormatPr defaultColWidth="9.00390625" defaultRowHeight="12.75"/>
  <cols>
    <col min="1" max="1" width="5.00390625" style="0" customWidth="1"/>
    <col min="3" max="3" width="32.25390625" style="0" customWidth="1"/>
    <col min="5" max="5" width="13.375" style="0" customWidth="1"/>
    <col min="13" max="13" width="5.125" style="0" customWidth="1"/>
    <col min="14" max="14" width="12.625" style="0" customWidth="1"/>
    <col min="15" max="15" width="9.125" style="0" customWidth="1"/>
  </cols>
  <sheetData>
    <row r="2" spans="2:15" ht="15.75">
      <c r="B2" s="726" t="s">
        <v>74</v>
      </c>
      <c r="C2" s="726"/>
      <c r="D2" s="235"/>
      <c r="E2" s="235"/>
      <c r="F2" s="236" t="s">
        <v>75</v>
      </c>
      <c r="G2" s="236"/>
      <c r="H2" s="237"/>
      <c r="I2" s="237"/>
      <c r="J2" s="237"/>
      <c r="K2" s="237"/>
      <c r="L2" s="237"/>
      <c r="M2" s="237"/>
      <c r="N2" s="237"/>
      <c r="O2" s="237"/>
    </row>
    <row r="3" spans="2:15" ht="15.75">
      <c r="B3" s="727"/>
      <c r="C3" s="727"/>
      <c r="D3" s="727"/>
      <c r="E3" s="235"/>
      <c r="F3" s="728"/>
      <c r="G3" s="728"/>
      <c r="H3" s="728"/>
      <c r="I3" s="728"/>
      <c r="J3" s="728"/>
      <c r="K3" s="728"/>
      <c r="L3" s="728"/>
      <c r="M3" s="728"/>
      <c r="N3" s="728"/>
      <c r="O3" s="728"/>
    </row>
    <row r="4" spans="2:15" ht="15.75">
      <c r="B4" s="726" t="s">
        <v>126</v>
      </c>
      <c r="C4" s="726"/>
      <c r="D4" s="235"/>
      <c r="E4" s="235"/>
      <c r="F4" s="726" t="s">
        <v>127</v>
      </c>
      <c r="G4" s="726"/>
      <c r="H4" s="726"/>
      <c r="I4" s="726"/>
      <c r="J4" s="726"/>
      <c r="K4" s="726"/>
      <c r="L4" s="726"/>
      <c r="M4" s="726"/>
      <c r="N4" s="726"/>
      <c r="O4" s="726"/>
    </row>
    <row r="5" spans="2:15" ht="15.75" customHeight="1">
      <c r="B5" s="726" t="s">
        <v>128</v>
      </c>
      <c r="C5" s="726"/>
      <c r="D5" s="320"/>
      <c r="E5" s="320"/>
      <c r="F5" s="726" t="s">
        <v>128</v>
      </c>
      <c r="G5" s="726"/>
      <c r="H5" s="726"/>
      <c r="I5" s="726"/>
      <c r="J5" s="726"/>
      <c r="K5" s="726"/>
      <c r="L5" s="726"/>
      <c r="M5" s="726"/>
      <c r="N5" s="726"/>
      <c r="O5" s="726"/>
    </row>
    <row r="6" spans="2:15" ht="17.25">
      <c r="B6" s="321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3"/>
    </row>
    <row r="7" spans="2:15" ht="17.25">
      <c r="B7" s="913" t="s">
        <v>373</v>
      </c>
      <c r="C7" s="913"/>
      <c r="D7" s="913"/>
      <c r="E7" s="913"/>
      <c r="F7" s="913"/>
      <c r="G7" s="913"/>
      <c r="H7" s="913"/>
      <c r="I7" s="913"/>
      <c r="J7" s="913"/>
      <c r="K7" s="913"/>
      <c r="L7" s="913"/>
      <c r="M7" s="913"/>
      <c r="N7" s="913"/>
      <c r="O7" s="323"/>
    </row>
    <row r="8" spans="2:14" ht="15" customHeight="1">
      <c r="B8" s="913" t="s">
        <v>372</v>
      </c>
      <c r="C8" s="913"/>
      <c r="D8" s="913"/>
      <c r="E8" s="913"/>
      <c r="F8" s="913"/>
      <c r="G8" s="913"/>
      <c r="H8" s="913"/>
      <c r="I8" s="913"/>
      <c r="J8" s="913"/>
      <c r="K8" s="913"/>
      <c r="L8" s="913"/>
      <c r="M8" s="913"/>
      <c r="N8" s="913"/>
    </row>
    <row r="9" spans="2:14" ht="46.5" customHeight="1">
      <c r="B9" s="601"/>
      <c r="C9" s="914" t="s">
        <v>331</v>
      </c>
      <c r="D9" s="914"/>
      <c r="E9" s="914"/>
      <c r="F9" s="914"/>
      <c r="G9" s="914"/>
      <c r="H9" s="914"/>
      <c r="I9" s="914"/>
      <c r="J9" s="914"/>
      <c r="K9" s="914"/>
      <c r="L9" s="914"/>
      <c r="M9" s="914"/>
      <c r="N9" s="914"/>
    </row>
    <row r="10" spans="2:14" ht="12.75">
      <c r="B10" s="601"/>
      <c r="C10" s="915"/>
      <c r="D10" s="915"/>
      <c r="E10" s="915"/>
      <c r="F10" s="915"/>
      <c r="G10" s="915"/>
      <c r="H10" s="915"/>
      <c r="I10" s="915"/>
      <c r="J10" s="915"/>
      <c r="K10" s="915"/>
      <c r="L10" s="915"/>
      <c r="M10" s="915"/>
      <c r="N10" s="602"/>
    </row>
    <row r="11" spans="2:14" ht="12.75">
      <c r="B11" s="905" t="s">
        <v>30</v>
      </c>
      <c r="C11" s="907" t="s">
        <v>133</v>
      </c>
      <c r="D11" s="907" t="s">
        <v>134</v>
      </c>
      <c r="E11" s="907" t="s">
        <v>135</v>
      </c>
      <c r="F11" s="916" t="s">
        <v>136</v>
      </c>
      <c r="G11" s="917"/>
      <c r="H11" s="917"/>
      <c r="I11" s="917"/>
      <c r="J11" s="917"/>
      <c r="K11" s="917"/>
      <c r="L11" s="917"/>
      <c r="M11" s="917"/>
      <c r="N11" s="907" t="s">
        <v>332</v>
      </c>
    </row>
    <row r="12" spans="2:14" ht="12.75">
      <c r="B12" s="906"/>
      <c r="C12" s="908"/>
      <c r="D12" s="908"/>
      <c r="E12" s="908"/>
      <c r="F12" s="918"/>
      <c r="G12" s="919"/>
      <c r="H12" s="919"/>
      <c r="I12" s="919"/>
      <c r="J12" s="919"/>
      <c r="K12" s="919"/>
      <c r="L12" s="919"/>
      <c r="M12" s="919"/>
      <c r="N12" s="908"/>
    </row>
    <row r="13" spans="2:14" ht="12.75">
      <c r="B13" s="603">
        <v>1</v>
      </c>
      <c r="C13" s="605">
        <v>2</v>
      </c>
      <c r="D13" s="604">
        <v>3</v>
      </c>
      <c r="E13" s="605">
        <v>4</v>
      </c>
      <c r="F13" s="924">
        <v>5</v>
      </c>
      <c r="G13" s="925"/>
      <c r="H13" s="925"/>
      <c r="I13" s="925"/>
      <c r="J13" s="925"/>
      <c r="K13" s="925"/>
      <c r="L13" s="925"/>
      <c r="M13" s="925"/>
      <c r="N13" s="606">
        <v>6</v>
      </c>
    </row>
    <row r="14" spans="2:14" ht="12.75">
      <c r="B14" s="607"/>
      <c r="C14" s="608" t="s">
        <v>138</v>
      </c>
      <c r="D14" s="604"/>
      <c r="E14" s="609"/>
      <c r="F14" s="610"/>
      <c r="G14" s="610"/>
      <c r="H14" s="610"/>
      <c r="I14" s="610"/>
      <c r="J14" s="610"/>
      <c r="K14" s="610"/>
      <c r="L14" s="610"/>
      <c r="M14" s="610"/>
      <c r="N14" s="606"/>
    </row>
    <row r="15" spans="2:14" ht="15" customHeight="1">
      <c r="B15" s="611"/>
      <c r="C15" s="612" t="s">
        <v>333</v>
      </c>
      <c r="D15" s="613">
        <v>2</v>
      </c>
      <c r="E15" s="614"/>
      <c r="F15" s="615"/>
      <c r="G15" s="615"/>
      <c r="H15" s="615"/>
      <c r="I15" s="615"/>
      <c r="J15" s="615"/>
      <c r="K15" s="615"/>
      <c r="L15" s="615"/>
      <c r="M15" s="615"/>
      <c r="N15" s="616"/>
    </row>
    <row r="16" spans="2:14" ht="17.25" customHeight="1">
      <c r="B16" s="611"/>
      <c r="C16" s="612" t="s">
        <v>334</v>
      </c>
      <c r="D16" s="613">
        <v>1</v>
      </c>
      <c r="E16" s="614"/>
      <c r="F16" s="615"/>
      <c r="G16" s="615"/>
      <c r="H16" s="615"/>
      <c r="I16" s="615"/>
      <c r="J16" s="615"/>
      <c r="K16" s="615"/>
      <c r="L16" s="615"/>
      <c r="M16" s="615"/>
      <c r="N16" s="616"/>
    </row>
    <row r="17" spans="2:14" ht="28.5" customHeight="1">
      <c r="B17" s="611"/>
      <c r="C17" s="612" t="s">
        <v>335</v>
      </c>
      <c r="D17" s="613">
        <v>200</v>
      </c>
      <c r="E17" s="614"/>
      <c r="F17" s="615"/>
      <c r="G17" s="615"/>
      <c r="H17" s="615"/>
      <c r="I17" s="615"/>
      <c r="J17" s="615"/>
      <c r="K17" s="615"/>
      <c r="L17" s="615"/>
      <c r="M17" s="615"/>
      <c r="N17" s="616"/>
    </row>
    <row r="18" spans="2:14" ht="12.75">
      <c r="B18" s="611"/>
      <c r="C18" s="612" t="s">
        <v>368</v>
      </c>
      <c r="D18" s="613">
        <v>1</v>
      </c>
      <c r="E18" s="614"/>
      <c r="F18" s="615"/>
      <c r="G18" s="615"/>
      <c r="H18" s="615"/>
      <c r="I18" s="615"/>
      <c r="J18" s="615"/>
      <c r="K18" s="615"/>
      <c r="L18" s="615"/>
      <c r="M18" s="615"/>
      <c r="N18" s="616"/>
    </row>
    <row r="19" spans="2:14" ht="35.25" customHeight="1">
      <c r="B19" s="611"/>
      <c r="C19" s="612" t="s">
        <v>336</v>
      </c>
      <c r="D19" s="613">
        <v>1</v>
      </c>
      <c r="E19" s="614"/>
      <c r="F19" s="615"/>
      <c r="G19" s="615"/>
      <c r="H19" s="615"/>
      <c r="I19" s="615"/>
      <c r="J19" s="615"/>
      <c r="K19" s="615"/>
      <c r="L19" s="615"/>
      <c r="M19" s="615"/>
      <c r="N19" s="616"/>
    </row>
    <row r="20" spans="2:14" ht="11.25" customHeight="1">
      <c r="B20" s="617" t="s">
        <v>114</v>
      </c>
      <c r="C20" s="618" t="s">
        <v>337</v>
      </c>
      <c r="D20" s="619"/>
      <c r="E20" s="620" t="s">
        <v>114</v>
      </c>
      <c r="F20" s="621" t="s">
        <v>114</v>
      </c>
      <c r="G20" s="622"/>
      <c r="H20" s="622"/>
      <c r="I20" s="623"/>
      <c r="J20" s="622"/>
      <c r="K20" s="622"/>
      <c r="L20" s="622"/>
      <c r="M20" s="622"/>
      <c r="N20" s="624"/>
    </row>
    <row r="21" spans="2:14" ht="27.75" customHeight="1">
      <c r="B21" s="625"/>
      <c r="C21" s="28" t="s">
        <v>338</v>
      </c>
      <c r="D21" s="626">
        <v>167.9</v>
      </c>
      <c r="E21" s="627" t="s">
        <v>339</v>
      </c>
      <c r="F21" s="628">
        <f>D21</f>
        <v>167.9</v>
      </c>
      <c r="G21" s="909" t="s">
        <v>340</v>
      </c>
      <c r="H21" s="909"/>
      <c r="I21" s="910"/>
      <c r="J21" s="629"/>
      <c r="K21" s="629"/>
      <c r="L21" s="629"/>
      <c r="M21" s="629"/>
      <c r="N21" s="630">
        <f>D21*D24*D25*D26*D27*D28*D29*D17/100</f>
        <v>22127.8841929728</v>
      </c>
    </row>
    <row r="22" spans="2:14" ht="24.75" customHeight="1">
      <c r="B22" s="631" t="s">
        <v>341</v>
      </c>
      <c r="C22" s="632" t="s">
        <v>342</v>
      </c>
      <c r="D22" s="633">
        <v>1.25</v>
      </c>
      <c r="E22" s="634"/>
      <c r="F22" s="635"/>
      <c r="G22" s="636"/>
      <c r="H22" s="636"/>
      <c r="I22" s="637"/>
      <c r="J22" s="638"/>
      <c r="K22" s="638"/>
      <c r="L22" s="638"/>
      <c r="M22" s="638"/>
      <c r="N22" s="639"/>
    </row>
    <row r="23" spans="2:14" ht="30.75" customHeight="1">
      <c r="B23" s="640" t="s">
        <v>343</v>
      </c>
      <c r="C23" s="641" t="s">
        <v>344</v>
      </c>
      <c r="D23" s="642">
        <v>1.35</v>
      </c>
      <c r="E23" s="634"/>
      <c r="F23" s="75"/>
      <c r="G23" s="43"/>
      <c r="H23" s="43"/>
      <c r="I23" s="643"/>
      <c r="J23" s="36"/>
      <c r="K23" s="36"/>
      <c r="L23" s="36"/>
      <c r="M23" s="36"/>
      <c r="N23" s="41"/>
    </row>
    <row r="24" spans="2:14" ht="34.5" customHeight="1">
      <c r="B24" s="644" t="s">
        <v>345</v>
      </c>
      <c r="C24" s="645" t="s">
        <v>346</v>
      </c>
      <c r="D24" s="646">
        <v>1.6</v>
      </c>
      <c r="E24" s="634"/>
      <c r="F24" s="75"/>
      <c r="G24" s="43"/>
      <c r="H24" s="43"/>
      <c r="I24" s="643"/>
      <c r="J24" s="36"/>
      <c r="K24" s="36"/>
      <c r="L24" s="36"/>
      <c r="M24" s="36"/>
      <c r="N24" s="41"/>
    </row>
    <row r="25" spans="2:14" ht="26.25" customHeight="1">
      <c r="B25" s="644" t="s">
        <v>347</v>
      </c>
      <c r="C25" s="647" t="s">
        <v>348</v>
      </c>
      <c r="D25" s="648">
        <v>5.92</v>
      </c>
      <c r="E25" s="634"/>
      <c r="F25" s="75"/>
      <c r="G25" s="43"/>
      <c r="H25" s="43"/>
      <c r="I25" s="643"/>
      <c r="J25" s="36"/>
      <c r="K25" s="36"/>
      <c r="L25" s="36"/>
      <c r="M25" s="36"/>
      <c r="N25" s="41"/>
    </row>
    <row r="26" spans="2:14" ht="29.25" customHeight="1">
      <c r="B26" s="644" t="s">
        <v>349</v>
      </c>
      <c r="C26" s="647" t="s">
        <v>350</v>
      </c>
      <c r="D26" s="648">
        <v>1.1</v>
      </c>
      <c r="E26" s="634"/>
      <c r="F26" s="75"/>
      <c r="G26" s="43"/>
      <c r="H26" s="43"/>
      <c r="I26" s="643"/>
      <c r="J26" s="36"/>
      <c r="K26" s="36"/>
      <c r="L26" s="36"/>
      <c r="M26" s="36"/>
      <c r="N26" s="41"/>
    </row>
    <row r="27" spans="2:14" ht="33.75" customHeight="1">
      <c r="B27" s="631" t="s">
        <v>351</v>
      </c>
      <c r="C27" s="632" t="s">
        <v>352</v>
      </c>
      <c r="D27" s="633">
        <v>1.35</v>
      </c>
      <c r="E27" s="634"/>
      <c r="F27" s="75"/>
      <c r="G27" s="43"/>
      <c r="H27" s="43"/>
      <c r="I27" s="643"/>
      <c r="J27" s="36"/>
      <c r="K27" s="36"/>
      <c r="L27" s="36"/>
      <c r="M27" s="36"/>
      <c r="N27" s="41"/>
    </row>
    <row r="28" spans="2:14" ht="51">
      <c r="B28" s="649" t="s">
        <v>353</v>
      </c>
      <c r="C28" s="650" t="s">
        <v>370</v>
      </c>
      <c r="D28" s="651">
        <v>3.84</v>
      </c>
      <c r="E28" s="652" t="s">
        <v>369</v>
      </c>
      <c r="F28" s="653"/>
      <c r="G28" s="653"/>
      <c r="H28" s="653"/>
      <c r="I28" s="653"/>
      <c r="J28" s="653"/>
      <c r="K28" s="653"/>
      <c r="L28" s="653"/>
      <c r="M28" s="653"/>
      <c r="N28" s="654"/>
    </row>
    <row r="29" spans="2:14" ht="12.75">
      <c r="B29" s="655" t="s">
        <v>354</v>
      </c>
      <c r="C29" s="656" t="s">
        <v>355</v>
      </c>
      <c r="D29" s="657">
        <v>1.22</v>
      </c>
      <c r="E29" s="658"/>
      <c r="F29" s="653"/>
      <c r="G29" s="653"/>
      <c r="H29" s="653"/>
      <c r="I29" s="653"/>
      <c r="J29" s="653"/>
      <c r="K29" s="653"/>
      <c r="L29" s="653"/>
      <c r="M29" s="653"/>
      <c r="N29" s="654"/>
    </row>
    <row r="30" spans="2:14" ht="12.75">
      <c r="B30" s="911" t="s">
        <v>356</v>
      </c>
      <c r="C30" s="912"/>
      <c r="D30" s="912"/>
      <c r="E30" s="912"/>
      <c r="F30" s="912"/>
      <c r="G30" s="912"/>
      <c r="H30" s="912"/>
      <c r="I30" s="912"/>
      <c r="J30" s="912"/>
      <c r="K30" s="912"/>
      <c r="L30" s="912"/>
      <c r="M30" s="912"/>
      <c r="N30" s="659">
        <f>N21</f>
        <v>22127.88</v>
      </c>
    </row>
    <row r="31" spans="2:14" ht="16.5" customHeight="1">
      <c r="B31" s="617" t="s">
        <v>114</v>
      </c>
      <c r="C31" s="619" t="s">
        <v>357</v>
      </c>
      <c r="D31" s="660"/>
      <c r="E31" s="661"/>
      <c r="F31" s="621"/>
      <c r="G31" s="622"/>
      <c r="H31" s="622"/>
      <c r="I31" s="622"/>
      <c r="J31" s="622"/>
      <c r="K31" s="622"/>
      <c r="L31" s="622"/>
      <c r="M31" s="622"/>
      <c r="N31" s="624"/>
    </row>
    <row r="32" spans="2:14" ht="18" customHeight="1">
      <c r="B32" s="625"/>
      <c r="C32" s="28" t="s">
        <v>338</v>
      </c>
      <c r="D32" s="662">
        <v>163.2</v>
      </c>
      <c r="E32" s="627" t="s">
        <v>358</v>
      </c>
      <c r="F32" s="628">
        <f>D32</f>
        <v>163.2</v>
      </c>
      <c r="G32" s="909" t="s">
        <v>340</v>
      </c>
      <c r="H32" s="909"/>
      <c r="I32" s="910"/>
      <c r="J32" s="629"/>
      <c r="K32" s="629"/>
      <c r="L32" s="629"/>
      <c r="M32" s="629"/>
      <c r="N32" s="663">
        <f>D32*D35*D36*D37*D38*D39*D40*D17/100</f>
        <v>17629.89</v>
      </c>
    </row>
    <row r="33" spans="2:14" ht="28.5" customHeight="1">
      <c r="B33" s="631" t="s">
        <v>341</v>
      </c>
      <c r="C33" s="632" t="s">
        <v>342</v>
      </c>
      <c r="D33" s="633">
        <v>1.25</v>
      </c>
      <c r="E33" s="634"/>
      <c r="F33" s="628"/>
      <c r="G33" s="629"/>
      <c r="H33" s="629"/>
      <c r="I33" s="629"/>
      <c r="J33" s="629"/>
      <c r="K33" s="629"/>
      <c r="L33" s="629"/>
      <c r="M33" s="629"/>
      <c r="N33" s="663"/>
    </row>
    <row r="34" spans="2:14" ht="26.25" customHeight="1">
      <c r="B34" s="640" t="s">
        <v>343</v>
      </c>
      <c r="C34" s="641" t="s">
        <v>344</v>
      </c>
      <c r="D34" s="642">
        <v>1.35</v>
      </c>
      <c r="E34" s="634"/>
      <c r="F34" s="628"/>
      <c r="G34" s="629"/>
      <c r="H34" s="629"/>
      <c r="I34" s="629"/>
      <c r="J34" s="629"/>
      <c r="K34" s="629"/>
      <c r="L34" s="629"/>
      <c r="M34" s="629"/>
      <c r="N34" s="663"/>
    </row>
    <row r="35" spans="2:14" ht="25.5" customHeight="1">
      <c r="B35" s="644" t="s">
        <v>345</v>
      </c>
      <c r="C35" s="645" t="s">
        <v>346</v>
      </c>
      <c r="D35" s="646">
        <v>1.6</v>
      </c>
      <c r="E35" s="634"/>
      <c r="F35" s="628"/>
      <c r="G35" s="629"/>
      <c r="H35" s="629"/>
      <c r="I35" s="629"/>
      <c r="J35" s="629"/>
      <c r="K35" s="629"/>
      <c r="L35" s="629"/>
      <c r="M35" s="629"/>
      <c r="N35" s="663"/>
    </row>
    <row r="36" spans="2:14" ht="26.25" customHeight="1">
      <c r="B36" s="644" t="s">
        <v>347</v>
      </c>
      <c r="C36" s="647" t="s">
        <v>348</v>
      </c>
      <c r="D36" s="648">
        <v>5.92</v>
      </c>
      <c r="E36" s="634"/>
      <c r="F36" s="628"/>
      <c r="G36" s="629"/>
      <c r="H36" s="629"/>
      <c r="I36" s="629"/>
      <c r="J36" s="629"/>
      <c r="K36" s="629"/>
      <c r="L36" s="629"/>
      <c r="M36" s="629"/>
      <c r="N36" s="663"/>
    </row>
    <row r="37" spans="2:14" ht="30.75" customHeight="1">
      <c r="B37" s="644" t="s">
        <v>349</v>
      </c>
      <c r="C37" s="647" t="s">
        <v>350</v>
      </c>
      <c r="D37" s="648">
        <v>1.1</v>
      </c>
      <c r="E37" s="634"/>
      <c r="F37" s="628"/>
      <c r="G37" s="629"/>
      <c r="H37" s="629"/>
      <c r="I37" s="629"/>
      <c r="J37" s="629"/>
      <c r="K37" s="629"/>
      <c r="L37" s="629"/>
      <c r="M37" s="629"/>
      <c r="N37" s="663"/>
    </row>
    <row r="38" spans="2:14" ht="30" customHeight="1">
      <c r="B38" s="631" t="s">
        <v>351</v>
      </c>
      <c r="C38" s="632" t="s">
        <v>352</v>
      </c>
      <c r="D38" s="633">
        <v>1.35</v>
      </c>
      <c r="E38" s="634"/>
      <c r="F38" s="628"/>
      <c r="G38" s="629"/>
      <c r="H38" s="629"/>
      <c r="I38" s="629"/>
      <c r="J38" s="629"/>
      <c r="K38" s="629"/>
      <c r="L38" s="629"/>
      <c r="M38" s="629"/>
      <c r="N38" s="663"/>
    </row>
    <row r="39" spans="2:14" ht="62.25" customHeight="1">
      <c r="B39" s="649" t="s">
        <v>353</v>
      </c>
      <c r="C39" s="650" t="s">
        <v>370</v>
      </c>
      <c r="D39" s="651">
        <v>3.84</v>
      </c>
      <c r="E39" s="652" t="s">
        <v>371</v>
      </c>
      <c r="F39" s="653"/>
      <c r="G39" s="653"/>
      <c r="H39" s="653"/>
      <c r="I39" s="653"/>
      <c r="J39" s="653"/>
      <c r="K39" s="653"/>
      <c r="L39" s="653"/>
      <c r="M39" s="653"/>
      <c r="N39" s="654"/>
    </row>
    <row r="40" spans="2:14" ht="12.75">
      <c r="B40" s="655" t="s">
        <v>354</v>
      </c>
      <c r="C40" s="656" t="s">
        <v>355</v>
      </c>
      <c r="D40" s="657">
        <v>1</v>
      </c>
      <c r="E40" s="658"/>
      <c r="F40" s="653"/>
      <c r="G40" s="653"/>
      <c r="H40" s="653"/>
      <c r="I40" s="653"/>
      <c r="J40" s="653"/>
      <c r="K40" s="653"/>
      <c r="L40" s="653"/>
      <c r="M40" s="653"/>
      <c r="N40" s="654"/>
    </row>
    <row r="41" spans="2:14" ht="12.75">
      <c r="B41" s="911" t="s">
        <v>359</v>
      </c>
      <c r="C41" s="912"/>
      <c r="D41" s="912"/>
      <c r="E41" s="912"/>
      <c r="F41" s="912"/>
      <c r="G41" s="912"/>
      <c r="H41" s="912"/>
      <c r="I41" s="912"/>
      <c r="J41" s="912"/>
      <c r="K41" s="912"/>
      <c r="L41" s="912"/>
      <c r="M41" s="912"/>
      <c r="N41" s="659">
        <f>N32</f>
        <v>17629.89</v>
      </c>
    </row>
    <row r="42" spans="2:14" ht="12.75">
      <c r="B42" s="911" t="s">
        <v>360</v>
      </c>
      <c r="C42" s="912"/>
      <c r="D42" s="912"/>
      <c r="E42" s="912"/>
      <c r="F42" s="912"/>
      <c r="G42" s="912"/>
      <c r="H42" s="912"/>
      <c r="I42" s="912"/>
      <c r="J42" s="912"/>
      <c r="K42" s="912"/>
      <c r="L42" s="912"/>
      <c r="M42" s="912"/>
      <c r="N42" s="659">
        <f>N30+N41</f>
        <v>39757.77</v>
      </c>
    </row>
    <row r="43" spans="2:14" ht="12.75">
      <c r="B43" s="631"/>
      <c r="C43" s="42" t="s">
        <v>361</v>
      </c>
      <c r="D43" s="664"/>
      <c r="E43" s="665"/>
      <c r="F43" s="629"/>
      <c r="G43" s="629"/>
      <c r="H43" s="629"/>
      <c r="I43" s="629"/>
      <c r="J43" s="629"/>
      <c r="K43" s="629"/>
      <c r="L43" s="629"/>
      <c r="M43" s="629"/>
      <c r="N43" s="663"/>
    </row>
    <row r="44" spans="2:14" ht="14.25">
      <c r="B44" s="631" t="s">
        <v>362</v>
      </c>
      <c r="C44" s="666"/>
      <c r="D44" s="667">
        <v>0.035</v>
      </c>
      <c r="E44" s="665" t="s">
        <v>363</v>
      </c>
      <c r="F44" s="920">
        <f>N42</f>
        <v>39757.77</v>
      </c>
      <c r="G44" s="921"/>
      <c r="H44" s="653" t="s">
        <v>364</v>
      </c>
      <c r="I44" s="668"/>
      <c r="J44" s="629"/>
      <c r="K44" s="629"/>
      <c r="L44" s="629"/>
      <c r="M44" s="629"/>
      <c r="N44" s="663">
        <f>N42*D44</f>
        <v>1391.52</v>
      </c>
    </row>
    <row r="45" spans="2:14" ht="12.75">
      <c r="B45" s="922" t="s">
        <v>365</v>
      </c>
      <c r="C45" s="923"/>
      <c r="D45" s="923"/>
      <c r="E45" s="923"/>
      <c r="F45" s="923"/>
      <c r="G45" s="923"/>
      <c r="H45" s="923"/>
      <c r="I45" s="923"/>
      <c r="J45" s="923"/>
      <c r="K45" s="923"/>
      <c r="L45" s="923"/>
      <c r="M45" s="923"/>
      <c r="N45" s="223">
        <f>N42+N44</f>
        <v>41149.29</v>
      </c>
    </row>
    <row r="46" spans="2:14" ht="12.75">
      <c r="B46" s="669"/>
      <c r="C46" s="669" t="s">
        <v>22</v>
      </c>
      <c r="D46" s="671">
        <v>1</v>
      </c>
      <c r="E46" s="671"/>
      <c r="F46" s="670"/>
      <c r="G46" s="670"/>
      <c r="H46" s="670"/>
      <c r="I46" s="670"/>
      <c r="J46" s="670"/>
      <c r="K46" s="670"/>
      <c r="L46" s="670"/>
      <c r="M46" s="670"/>
      <c r="N46" s="672">
        <f>N45</f>
        <v>41149.29</v>
      </c>
    </row>
    <row r="47" spans="2:14" ht="12.75">
      <c r="B47" s="644"/>
      <c r="C47" s="673" t="s">
        <v>366</v>
      </c>
      <c r="D47" s="599"/>
      <c r="E47" s="674"/>
      <c r="F47" s="674"/>
      <c r="G47" s="674"/>
      <c r="H47" s="674"/>
      <c r="I47" s="674"/>
      <c r="J47" s="674"/>
      <c r="K47" s="674"/>
      <c r="L47" s="674"/>
      <c r="M47" s="674"/>
      <c r="N47" s="675">
        <f>ROUND(N46*0.18,2)</f>
        <v>7406.87</v>
      </c>
    </row>
    <row r="48" spans="2:14" ht="12.75">
      <c r="B48" s="644"/>
      <c r="C48" s="673" t="s">
        <v>367</v>
      </c>
      <c r="D48" s="599"/>
      <c r="E48" s="674"/>
      <c r="F48" s="674"/>
      <c r="G48" s="674"/>
      <c r="H48" s="674"/>
      <c r="I48" s="674"/>
      <c r="J48" s="674"/>
      <c r="K48" s="674"/>
      <c r="L48" s="674"/>
      <c r="M48" s="674"/>
      <c r="N48" s="675">
        <f>N46+N47</f>
        <v>48556.16</v>
      </c>
    </row>
    <row r="49" spans="2:14" ht="12.75">
      <c r="B49" s="676"/>
      <c r="C49" s="36"/>
      <c r="D49" s="600"/>
      <c r="E49" s="36"/>
      <c r="F49" s="36"/>
      <c r="G49" s="36"/>
      <c r="H49" s="36"/>
      <c r="I49" s="36"/>
      <c r="J49" s="36"/>
      <c r="K49" s="36"/>
      <c r="L49" s="36"/>
      <c r="M49" s="36"/>
      <c r="N49" s="36"/>
    </row>
    <row r="50" spans="2:14" ht="12.75">
      <c r="B50" s="676"/>
      <c r="C50" s="36"/>
      <c r="D50" s="600"/>
      <c r="E50" s="36"/>
      <c r="F50" s="36"/>
      <c r="G50" s="36"/>
      <c r="H50" s="36"/>
      <c r="I50" s="36"/>
      <c r="J50" s="36"/>
      <c r="K50" s="36"/>
      <c r="L50" s="36"/>
      <c r="M50" s="36"/>
      <c r="N50" s="36"/>
    </row>
  </sheetData>
  <sheetProtection/>
  <mergeCells count="25">
    <mergeCell ref="F44:G44"/>
    <mergeCell ref="B45:M45"/>
    <mergeCell ref="B2:C2"/>
    <mergeCell ref="B3:D3"/>
    <mergeCell ref="F3:O3"/>
    <mergeCell ref="B4:C4"/>
    <mergeCell ref="F4:O4"/>
    <mergeCell ref="B5:C5"/>
    <mergeCell ref="F5:O5"/>
    <mergeCell ref="F13:M13"/>
    <mergeCell ref="G32:I32"/>
    <mergeCell ref="B41:M41"/>
    <mergeCell ref="B42:M42"/>
    <mergeCell ref="B7:N7"/>
    <mergeCell ref="B8:N8"/>
    <mergeCell ref="C9:N9"/>
    <mergeCell ref="C10:M10"/>
    <mergeCell ref="E11:E12"/>
    <mergeCell ref="F11:M12"/>
    <mergeCell ref="B11:B12"/>
    <mergeCell ref="C11:C12"/>
    <mergeCell ref="D11:D12"/>
    <mergeCell ref="N11:N12"/>
    <mergeCell ref="G21:I21"/>
    <mergeCell ref="B30:M30"/>
  </mergeCells>
  <printOptions/>
  <pageMargins left="0.7" right="0.7" top="0.75" bottom="0.75" header="0.3" footer="0.3"/>
  <pageSetup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0">
      <selection activeCell="C24" sqref="C24"/>
    </sheetView>
  </sheetViews>
  <sheetFormatPr defaultColWidth="9.00390625" defaultRowHeight="12.75"/>
  <cols>
    <col min="1" max="1" width="10.375" style="0" customWidth="1"/>
    <col min="2" max="2" width="13.00390625" style="0" customWidth="1"/>
    <col min="3" max="3" width="70.25390625" style="0" customWidth="1"/>
  </cols>
  <sheetData>
    <row r="1" spans="1:3" ht="12.75">
      <c r="A1" s="563"/>
      <c r="B1" s="563"/>
      <c r="C1" s="564"/>
    </row>
    <row r="2" spans="1:3" ht="12.75">
      <c r="A2" s="563"/>
      <c r="B2" s="563"/>
      <c r="C2" s="564"/>
    </row>
    <row r="3" spans="1:3" ht="12.75">
      <c r="A3" s="563"/>
      <c r="B3" s="563"/>
      <c r="C3" s="564"/>
    </row>
    <row r="4" spans="1:3" ht="12.75">
      <c r="A4" s="565" t="s">
        <v>74</v>
      </c>
      <c r="B4" s="565"/>
      <c r="C4" s="566" t="s">
        <v>277</v>
      </c>
    </row>
    <row r="5" spans="1:3" ht="12.75">
      <c r="A5" s="567"/>
      <c r="B5" s="567"/>
      <c r="C5" s="568"/>
    </row>
    <row r="6" spans="1:3" ht="12.75">
      <c r="A6" s="567"/>
      <c r="B6" s="567"/>
      <c r="C6" s="568"/>
    </row>
    <row r="7" spans="1:3" ht="12.75">
      <c r="A7" s="565" t="s">
        <v>278</v>
      </c>
      <c r="B7" s="565"/>
      <c r="C7" s="566" t="s">
        <v>279</v>
      </c>
    </row>
    <row r="8" spans="1:3" ht="12.75">
      <c r="A8" s="565" t="s">
        <v>280</v>
      </c>
      <c r="B8" s="565"/>
      <c r="C8" s="566" t="s">
        <v>281</v>
      </c>
    </row>
    <row r="9" spans="1:3" ht="12.75">
      <c r="A9" s="569"/>
      <c r="B9" s="569"/>
      <c r="C9" s="569"/>
    </row>
    <row r="10" spans="1:3" ht="12.75">
      <c r="A10" s="569"/>
      <c r="B10" s="569"/>
      <c r="C10" s="569"/>
    </row>
    <row r="11" spans="1:3" ht="63" customHeight="1">
      <c r="A11" s="926" t="s">
        <v>282</v>
      </c>
      <c r="B11" s="927"/>
      <c r="C11" s="928"/>
    </row>
    <row r="12" spans="1:3" ht="57" customHeight="1">
      <c r="A12" s="929" t="s">
        <v>327</v>
      </c>
      <c r="B12" s="930"/>
      <c r="C12" s="931"/>
    </row>
    <row r="13" spans="1:3" ht="25.5">
      <c r="A13" s="570" t="s">
        <v>283</v>
      </c>
      <c r="B13" s="584">
        <f>'См№1 ПР'!V39/1.18</f>
        <v>1572576</v>
      </c>
      <c r="C13" s="571" t="s">
        <v>284</v>
      </c>
    </row>
    <row r="14" spans="1:3" ht="12.75">
      <c r="A14" s="570"/>
      <c r="B14" s="585" t="s">
        <v>285</v>
      </c>
      <c r="C14" s="571" t="s">
        <v>286</v>
      </c>
    </row>
    <row r="15" spans="1:3" ht="12.75">
      <c r="A15" s="570" t="s">
        <v>287</v>
      </c>
      <c r="B15" s="586">
        <v>3.84</v>
      </c>
      <c r="C15" s="572" t="s">
        <v>288</v>
      </c>
    </row>
    <row r="16" spans="1:3" ht="25.5">
      <c r="A16" s="570" t="s">
        <v>289</v>
      </c>
      <c r="B16" s="584">
        <f>('См№2 Геодез'!O37+'См№3 Геолог'!N51)/1.18</f>
        <v>463442.51</v>
      </c>
      <c r="C16" s="571" t="s">
        <v>290</v>
      </c>
    </row>
    <row r="17" spans="1:3" ht="12.75">
      <c r="A17" s="570" t="s">
        <v>291</v>
      </c>
      <c r="B17" s="584">
        <f>('См№2 Геодез'!O37+'См№3 Геолог'!N51+'См№4 Экология'!M63)/1.18</f>
        <v>584400.36</v>
      </c>
      <c r="C17" s="571" t="s">
        <v>292</v>
      </c>
    </row>
    <row r="18" spans="1:3" ht="12.75">
      <c r="A18" s="570"/>
      <c r="B18" s="585" t="s">
        <v>285</v>
      </c>
      <c r="C18" s="571" t="s">
        <v>293</v>
      </c>
    </row>
    <row r="19" spans="1:3" ht="12.75">
      <c r="A19" s="570" t="s">
        <v>287</v>
      </c>
      <c r="B19" s="586">
        <v>3.9</v>
      </c>
      <c r="C19" s="572" t="s">
        <v>294</v>
      </c>
    </row>
    <row r="20" spans="1:3" ht="25.5">
      <c r="A20" s="570" t="s">
        <v>295</v>
      </c>
      <c r="B20" s="584">
        <f>B17/B19</f>
        <v>149846.25</v>
      </c>
      <c r="C20" s="571" t="s">
        <v>296</v>
      </c>
    </row>
    <row r="21" spans="1:3" ht="25.5">
      <c r="A21" s="573" t="s">
        <v>297</v>
      </c>
      <c r="B21" s="677">
        <v>3.73</v>
      </c>
      <c r="C21" s="574" t="s">
        <v>298</v>
      </c>
    </row>
    <row r="22" spans="1:3" ht="25.5">
      <c r="A22" s="573" t="s">
        <v>297</v>
      </c>
      <c r="B22" s="677">
        <v>3.73</v>
      </c>
      <c r="C22" s="575" t="s">
        <v>299</v>
      </c>
    </row>
    <row r="23" spans="1:3" ht="15.75">
      <c r="A23" s="573"/>
      <c r="B23" s="584">
        <f>(B16+B20)/1000000</f>
        <v>0.61</v>
      </c>
      <c r="C23" s="571" t="s">
        <v>300</v>
      </c>
    </row>
    <row r="24" spans="1:3" ht="38.25">
      <c r="A24" s="570" t="s">
        <v>301</v>
      </c>
      <c r="B24" s="678">
        <v>0.2022</v>
      </c>
      <c r="C24" s="571" t="s">
        <v>302</v>
      </c>
    </row>
    <row r="25" spans="1:3" ht="12.75">
      <c r="A25" s="570" t="s">
        <v>16</v>
      </c>
      <c r="B25" s="586">
        <v>18</v>
      </c>
      <c r="C25" s="571" t="s">
        <v>303</v>
      </c>
    </row>
    <row r="26" spans="1:3" ht="25.5">
      <c r="A26" s="570" t="s">
        <v>304</v>
      </c>
      <c r="B26" s="586">
        <v>1</v>
      </c>
      <c r="C26" s="571" t="s">
        <v>305</v>
      </c>
    </row>
    <row r="27" spans="1:3" ht="12.75">
      <c r="A27" s="576" t="s">
        <v>77</v>
      </c>
      <c r="B27" s="586">
        <v>1</v>
      </c>
      <c r="C27" s="572" t="s">
        <v>306</v>
      </c>
    </row>
    <row r="28" spans="1:3" ht="13.5">
      <c r="A28" s="577" t="s">
        <v>307</v>
      </c>
      <c r="B28" s="587">
        <f>(B16*B21+B20*B22)*B24*B26*B27+0.01</f>
        <v>462546.07</v>
      </c>
      <c r="C28" s="571" t="s">
        <v>308</v>
      </c>
    </row>
    <row r="29" spans="1:3" ht="12.75">
      <c r="A29" s="578" t="s">
        <v>16</v>
      </c>
      <c r="B29" s="588">
        <f>B28*B25/100-0.01</f>
        <v>83258.28</v>
      </c>
      <c r="C29" s="571" t="s">
        <v>309</v>
      </c>
    </row>
    <row r="30" spans="1:3" ht="12.75">
      <c r="A30" s="579" t="s">
        <v>155</v>
      </c>
      <c r="B30" s="589">
        <f>B28+B29</f>
        <v>545804.35</v>
      </c>
      <c r="C30" s="580" t="s">
        <v>310</v>
      </c>
    </row>
    <row r="31" spans="1:3" ht="12.75">
      <c r="A31" s="581"/>
      <c r="B31" s="582"/>
      <c r="C31" s="581"/>
    </row>
    <row r="32" spans="1:3" ht="15.75">
      <c r="A32" s="583" t="s">
        <v>311</v>
      </c>
      <c r="B32" s="582"/>
      <c r="C32" s="581"/>
    </row>
    <row r="33" spans="1:3" ht="12.75">
      <c r="A33" s="581"/>
      <c r="B33" s="582"/>
      <c r="C33" s="581"/>
    </row>
    <row r="34" spans="1:3" ht="12.75">
      <c r="A34" s="36" t="s">
        <v>312</v>
      </c>
      <c r="B34" s="36"/>
      <c r="C34" s="36"/>
    </row>
    <row r="35" spans="1:3" ht="12.75">
      <c r="A35" s="932" t="s">
        <v>313</v>
      </c>
      <c r="B35" s="932"/>
      <c r="C35" s="224"/>
    </row>
    <row r="36" spans="1:3" ht="12.75">
      <c r="A36" s="563"/>
      <c r="B36" s="569"/>
      <c r="C36" s="569"/>
    </row>
    <row r="37" spans="1:3" ht="12.75">
      <c r="A37" s="933" t="s">
        <v>314</v>
      </c>
      <c r="B37" s="933"/>
      <c r="C37" s="224"/>
    </row>
    <row r="38" spans="1:3" ht="12.75">
      <c r="A38" s="15"/>
      <c r="B38" s="15"/>
      <c r="C38" s="224"/>
    </row>
    <row r="39" spans="1:3" ht="12.75">
      <c r="A39" s="933" t="s">
        <v>97</v>
      </c>
      <c r="B39" s="933"/>
      <c r="C39" s="224"/>
    </row>
  </sheetData>
  <sheetProtection/>
  <mergeCells count="5">
    <mergeCell ref="A11:C11"/>
    <mergeCell ref="A12:C12"/>
    <mergeCell ref="A35:B35"/>
    <mergeCell ref="A37:B37"/>
    <mergeCell ref="A39:B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</dc:creator>
  <cp:keywords/>
  <dc:description/>
  <cp:lastModifiedBy>Ruslan Shmigov</cp:lastModifiedBy>
  <cp:lastPrinted>2015-04-29T01:49:28Z</cp:lastPrinted>
  <dcterms:created xsi:type="dcterms:W3CDTF">2005-04-12T07:03:24Z</dcterms:created>
  <dcterms:modified xsi:type="dcterms:W3CDTF">2016-02-17T14:03:05Z</dcterms:modified>
  <cp:category/>
  <cp:version/>
  <cp:contentType/>
  <cp:contentStatus/>
</cp:coreProperties>
</file>