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8" activeTab="5"/>
  </bookViews>
  <sheets>
    <sheet name="Свод" sheetId="1" r:id="rId1"/>
    <sheet name="См№1 ПР" sheetId="2" r:id="rId2"/>
    <sheet name="См№ Геодез" sheetId="3" r:id="rId3"/>
    <sheet name="См№ Геолог" sheetId="4" r:id="rId4"/>
    <sheet name="Смета № 4 Экология" sheetId="5" r:id="rId5"/>
    <sheet name="Экспертиза" sheetId="6" r:id="rId6"/>
  </sheets>
  <definedNames>
    <definedName name="_xlnm.Print_Area" localSheetId="0">'Свод'!$A$1:$F$24</definedName>
    <definedName name="_xlnm.Print_Area" localSheetId="1">'См№1 ПР'!$A$1:$V$32</definedName>
    <definedName name="_xlnm.Print_Area" localSheetId="5">'Экспертиза'!$A$1:$C$37</definedName>
  </definedNames>
  <calcPr fullCalcOnLoad="1" fullPrecision="0"/>
</workbook>
</file>

<file path=xl/sharedStrings.xml><?xml version="1.0" encoding="utf-8"?>
<sst xmlns="http://schemas.openxmlformats.org/spreadsheetml/2006/main" count="337" uniqueCount="242">
  <si>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</si>
  <si>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</si>
  <si>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</si>
  <si>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</si>
  <si>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</si>
  <si>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</si>
  <si>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</si>
  <si>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</si>
  <si>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</si>
  <si>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</si>
  <si>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</si>
  <si>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</si>
  <si>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</si>
  <si>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</si>
  <si>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</si>
  <si>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</si>
  <si>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</si>
  <si>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Разработка проектно-сметной документации</t>
  </si>
  <si>
    <t>5</t>
  </si>
  <si>
    <t>Договорной коэффициент</t>
  </si>
  <si>
    <t>№ п/п</t>
  </si>
  <si>
    <t>(</t>
  </si>
  <si>
    <t>+</t>
  </si>
  <si>
    <t>)*</t>
  </si>
  <si>
    <t>Ксл</t>
  </si>
  <si>
    <t>6</t>
  </si>
  <si>
    <t>Проектная документация</t>
  </si>
  <si>
    <t>40</t>
  </si>
  <si>
    <t>0,4</t>
  </si>
  <si>
    <t xml:space="preserve">Итого, рублей </t>
  </si>
  <si>
    <t>а,тыс.руб.</t>
  </si>
  <si>
    <t xml:space="preserve">Итого, тыс.руб. </t>
  </si>
  <si>
    <t>7</t>
  </si>
  <si>
    <t xml:space="preserve">б,тыс.руб. </t>
  </si>
  <si>
    <t>х, Гкал/ч</t>
  </si>
  <si>
    <t>К1 (РК)</t>
  </si>
  <si>
    <t>8</t>
  </si>
  <si>
    <t xml:space="preserve"> </t>
  </si>
  <si>
    <t>К3инф.индекс (Письмо Минстроя РФ  №40538-ЕС/05 от 15.12.2015г.)</t>
  </si>
  <si>
    <t>Виды работ</t>
  </si>
  <si>
    <t>Объемы</t>
  </si>
  <si>
    <t>Обоснование стоимости</t>
  </si>
  <si>
    <t>Расчет стоимости, руб.</t>
  </si>
  <si>
    <t>Исходные данные</t>
  </si>
  <si>
    <t>Итого: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</si>
  <si>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</si>
  <si>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</si>
  <si>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</si>
  <si>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</si>
  <si>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</si>
  <si>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</si>
  <si>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</si>
  <si>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</si>
  <si>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</si>
  <si>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</si>
  <si>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</si>
  <si>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</si>
  <si>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</si>
  <si>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</si>
  <si>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</si>
  <si>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</si>
  <si>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</si>
  <si>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</si>
  <si>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</si>
  <si>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</si>
  <si>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</si>
  <si>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</si>
  <si>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</si>
  <si>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</si>
  <si>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</si>
  <si>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</si>
  <si>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</si>
  <si>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</si>
  <si>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НДС,       рублей</t>
  </si>
  <si>
    <t>Стоимость работ с НДС,             рублей</t>
  </si>
  <si>
    <t>Экспертиза проектной документации</t>
  </si>
  <si>
    <t>Расчет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</si>
  <si>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</si>
  <si>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Смета № 2</t>
  </si>
  <si>
    <t>Наименование проектной организации:</t>
  </si>
  <si>
    <t>УТВЕРЖДАЮ</t>
  </si>
  <si>
    <t>на проектные  работы</t>
  </si>
  <si>
    <t xml:space="preserve">                                                                                    УТВЕРЖДАЮ</t>
  </si>
  <si>
    <t>Расчет стоимости проведения негосударственной экспертизы</t>
  </si>
  <si>
    <t>Итого по смете с НДС:</t>
  </si>
  <si>
    <t>НДС 18%</t>
  </si>
  <si>
    <t>Итого по смете:</t>
  </si>
  <si>
    <t>х</t>
  </si>
  <si>
    <t xml:space="preserve"> Письмо Минстроя России от 19.02.2016 N 4688-ХМ/05</t>
  </si>
  <si>
    <t>Стоимость работ с учетом районного коэффициента, коэффициента индекса цен</t>
  </si>
  <si>
    <t>от</t>
  </si>
  <si>
    <t xml:space="preserve">% </t>
  </si>
  <si>
    <t xml:space="preserve">СУБЦ –2001
п.13 Общих указаний               </t>
  </si>
  <si>
    <t>Расходы по организации и ликвидации работ на объекте</t>
  </si>
  <si>
    <t xml:space="preserve">СБЦ-2001 г.           Таблица 4 пар. 1                       Общих указаний      </t>
  </si>
  <si>
    <t>Расходы по внутреннему транспорту при расстоянии до объекта до 5 км.</t>
  </si>
  <si>
    <t>камеральные</t>
  </si>
  <si>
    <t>полевые</t>
  </si>
  <si>
    <t>Всего:</t>
  </si>
  <si>
    <t>п.15д ОУ к=</t>
  </si>
  <si>
    <t>п.15а ОУ к=</t>
  </si>
  <si>
    <t>Камеральные работы</t>
  </si>
  <si>
    <t>К исп. Трассопоискового оборудования</t>
  </si>
  <si>
    <t>Категория сложности - II</t>
  </si>
  <si>
    <t>Полевые работы</t>
  </si>
  <si>
    <t xml:space="preserve">СУБЦ –2001
табл.9 § 5                                         прим.4 использ. трассопоискового оборудования                                             </t>
  </si>
  <si>
    <t>Создание инженерно-топографического плана масштаба 1:500 с сечением рельефа  через 0.5 м  на застроенной территории</t>
  </si>
  <si>
    <t>Общая площадь участков, га</t>
  </si>
  <si>
    <t xml:space="preserve">Стоимость   руб </t>
  </si>
  <si>
    <t>№ п/п в руб.</t>
  </si>
  <si>
    <t xml:space="preserve">                                                    </t>
  </si>
  <si>
    <t>на выполнение инженерно-геодезических изысканий</t>
  </si>
  <si>
    <t>Стоимость работ инженерно-геологических изысканий с НДС</t>
  </si>
  <si>
    <t>НДС 18 %</t>
  </si>
  <si>
    <t>Итого по позиции IV</t>
  </si>
  <si>
    <t>21% от п.19</t>
  </si>
  <si>
    <t>Табл. 87, §1</t>
  </si>
  <si>
    <t>Составление технического отчёта</t>
  </si>
  <si>
    <t>500.00 * 1.25</t>
  </si>
  <si>
    <t>Табл. 81, §1, прим. 1</t>
  </si>
  <si>
    <t>Составление программы работ</t>
  </si>
  <si>
    <t>Позиция IV</t>
  </si>
  <si>
    <t>Итого по позиции III</t>
  </si>
  <si>
    <t>Табл. 86, §1</t>
  </si>
  <si>
    <t>Камеральная обработка данных лабораторных исследований</t>
  </si>
  <si>
    <t>Табл. 82 § 1</t>
  </si>
  <si>
    <t>Камеральная обработка буровых работ</t>
  </si>
  <si>
    <t>Табл.78 §1</t>
  </si>
  <si>
    <t>Сбор изучение и систематизация материалов изысканий прошлых лет, 100м.</t>
  </si>
  <si>
    <t>Позиция III</t>
  </si>
  <si>
    <t>Итого по позиции II</t>
  </si>
  <si>
    <t>Табл.75 §5</t>
  </si>
  <si>
    <t xml:space="preserve">Коррозийная активность грунтов по отношению к бетону </t>
  </si>
  <si>
    <t xml:space="preserve">Табл. 75 § 1,2,4 </t>
  </si>
  <si>
    <t>Определение коррозионной активности грунта по отношению к стали.</t>
  </si>
  <si>
    <t>Табл. 63, §28</t>
  </si>
  <si>
    <t xml:space="preserve"> Полный комплекс определения физических свойств глинистых грунтов</t>
  </si>
  <si>
    <t>Позиция II</t>
  </si>
  <si>
    <t>Итого по позиции I</t>
  </si>
  <si>
    <t xml:space="preserve">6% от стоимости полевых работ с учётом п. 6 </t>
  </si>
  <si>
    <t>Общие указания, п. 13, примеч.1</t>
  </si>
  <si>
    <t xml:space="preserve">Расходы по организации и ликвидации работ </t>
  </si>
  <si>
    <t>8,75% от стоимости полевых работ</t>
  </si>
  <si>
    <t>Табл.4§2.</t>
  </si>
  <si>
    <t>Расходы по внутреннему транспорту, расстояние до участка изысканий до 5 км.</t>
  </si>
  <si>
    <t>Табл. 57, §1.</t>
  </si>
  <si>
    <t>Отбор монолитов из скважин  в интервале 0-10 м., шт.</t>
  </si>
  <si>
    <t>Табл. 17, §1</t>
  </si>
  <si>
    <t>Колонковое бурение диаметром до 160 мм глубиной до 15м: порода II категории.</t>
  </si>
  <si>
    <t>Табл.93, 
прим. § 3</t>
  </si>
  <si>
    <t>Планово-высотная привязка скважин                     II категории</t>
  </si>
  <si>
    <t xml:space="preserve">Табл.93, 
прим. § 3
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</si>
  <si>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шт.</t>
    </r>
  </si>
  <si>
    <t>Позиция I</t>
  </si>
  <si>
    <t>Общее количество п. метров</t>
  </si>
  <si>
    <t>Общее кол-во скважин, шт</t>
  </si>
  <si>
    <t>Глубина проходки, м</t>
  </si>
  <si>
    <t>Кол-во скважин, шт</t>
  </si>
  <si>
    <t>К - индексации</t>
  </si>
  <si>
    <t>К - районный</t>
  </si>
  <si>
    <t>Исходные данные: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</si>
  <si>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</si>
  <si>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Инженерно-геологические изыскания</t>
  </si>
  <si>
    <t>1991 г.</t>
  </si>
  <si>
    <t>Стоимость, руб.</t>
  </si>
  <si>
    <t>Общая цена</t>
  </si>
  <si>
    <t>Обоснование</t>
  </si>
  <si>
    <t xml:space="preserve"> на инженерно-геологические изыскания</t>
  </si>
  <si>
    <t>Смета №3</t>
  </si>
  <si>
    <t>ИТОГО с учетом договорного коэффициента К=</t>
  </si>
  <si>
    <t>ИТОГО инженерно-экологических работ</t>
  </si>
  <si>
    <t>Стоимость работ с учетом районного коэффициента и коэффициента индекса цен</t>
  </si>
  <si>
    <r>
      <t xml:space="preserve">Примечание - </t>
    </r>
    <r>
      <rPr>
        <i/>
        <sz val="10"/>
        <rFont val="Times New Roman"/>
        <family val="1"/>
      </rPr>
      <t xml:space="preserve"> для изысканий со сметной стоимостью до 2 тыс. руб.</t>
    </r>
  </si>
  <si>
    <t xml:space="preserve">ОУ п.13 </t>
  </si>
  <si>
    <t>Организация и ликвидация работ</t>
  </si>
  <si>
    <t>Таблица 4, §1</t>
  </si>
  <si>
    <t>Расходы на внутрений транспорт</t>
  </si>
  <si>
    <t>Таблица 87, п.1</t>
  </si>
  <si>
    <t>Составление технического отчета о результатах выполненных работ, кат.сложности - 1</t>
  </si>
  <si>
    <t xml:space="preserve">Итого Лабораторные работы </t>
  </si>
  <si>
    <t>Таблица 70, §63</t>
  </si>
  <si>
    <r>
      <t xml:space="preserve">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</rPr>
      <t>Измеритель - 1 образец</t>
    </r>
  </si>
  <si>
    <t>Таблица 70, §60</t>
  </si>
  <si>
    <r>
      <t xml:space="preserve">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</si>
  <si>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</si>
  <si>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</t>
    </r>
    <r>
      <rPr>
        <i/>
        <sz val="10"/>
        <rFont val="Times New Roman"/>
        <family val="1"/>
      </rPr>
      <t>Измеритель - 1 образец</t>
    </r>
  </si>
  <si>
    <t>Лабораторные работы</t>
  </si>
  <si>
    <t>камеральных работ:</t>
  </si>
  <si>
    <t>в том числе полевых работ:</t>
  </si>
  <si>
    <t>камеральные работы</t>
  </si>
  <si>
    <t>полевые работы</t>
  </si>
  <si>
    <t>Таблица 92, §3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</si>
  <si>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</rPr>
      <t>Единица измерения, 0,1га</t>
    </r>
  </si>
  <si>
    <t>§10</t>
  </si>
  <si>
    <t xml:space="preserve"> - почвогрунтов, 1проба</t>
  </si>
  <si>
    <t>Отбор проб для бактериологического анализа:</t>
  </si>
  <si>
    <r>
      <t xml:space="preserve">§7
примечание 1 </t>
    </r>
    <r>
      <rPr>
        <i/>
        <sz val="10"/>
        <rFont val="Times New Roman"/>
        <family val="1"/>
      </rPr>
      <t>(отбор объединенной пробы)</t>
    </r>
  </si>
  <si>
    <t xml:space="preserve"> - почвогрунтов почво-грунтов (методами конверта, по диагонали и т.п.), 1 проб</t>
  </si>
  <si>
    <t>Таблица 60</t>
  </si>
  <si>
    <t>Отбор проб на загрязненность по хим. показателям:</t>
  </si>
  <si>
    <r>
      <t xml:space="preserve">Глава 2, п.5 </t>
    </r>
    <r>
      <rPr>
        <i/>
        <sz val="10"/>
        <rFont val="Times New Roman"/>
        <family val="1"/>
      </rPr>
      <t>(наблюдение при составлении карт узких полос вдоль трасс линейных сооружений)</t>
    </r>
  </si>
  <si>
    <t>Таблица 11, §2</t>
  </si>
  <si>
    <r>
      <t xml:space="preserve">Описание точек наблюдения при составлении инженерно-экологических карт, категория сложности - 2,                        </t>
    </r>
    <r>
      <rPr>
        <i/>
        <sz val="10"/>
        <rFont val="Times New Roman"/>
        <family val="1"/>
      </rPr>
      <t>кол-во точек наблюдения - 1</t>
    </r>
  </si>
  <si>
    <t>Табл. 10, §4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</si>
  <si>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</t>
  </si>
  <si>
    <t>Табл. 9, §5</t>
  </si>
  <si>
    <t xml:space="preserve">I. </t>
  </si>
  <si>
    <t>площадь участка,га</t>
  </si>
  <si>
    <t>К - итоговый (таб. 3 Общ.указ.)</t>
  </si>
  <si>
    <t>Справочник базовых цен на инженерно-геологические и инженерно-экологические изыскания для строительства                               СБЦ103-(1999)</t>
  </si>
  <si>
    <t>Расчет стоимости (а+в*х), или (Объем СМР)*Х%/200, или                                                               цена (руб)* кол-во</t>
  </si>
  <si>
    <t>№№ частей, глав таблиц, пунктов указаний к разделу или главе Сборника ценна ПИР для строительства</t>
  </si>
  <si>
    <t>на инженерно-экологические работы</t>
  </si>
  <si>
    <t>Смета № 4</t>
  </si>
  <si>
    <t>Письмо Минстроя России от 19.02.2016 N 4688-ХМ/05</t>
  </si>
  <si>
    <t>Инженерно-геодезические изыскания</t>
  </si>
  <si>
    <t>Смета № 3</t>
  </si>
  <si>
    <t>Инженерно-экологические изыскания</t>
  </si>
  <si>
    <t>Смета №4</t>
  </si>
  <si>
    <t>Котельная 3 Гкал/ч</t>
  </si>
  <si>
    <t>"_____" _____________________ 2017 г.</t>
  </si>
  <si>
    <t xml:space="preserve">Наименование объекта: «Реконструкция котельной по ул. Промышленная, 21 в г. Краснодаре»                                                                        
</t>
  </si>
  <si>
    <t>Наименование организации-заказчика: АО "АТЭК"</t>
  </si>
  <si>
    <r>
      <t xml:space="preserve">Наименование объекта: </t>
    </r>
    <r>
      <rPr>
        <b/>
        <sz val="10"/>
        <rFont val="Times New Roman"/>
        <family val="1"/>
      </rPr>
      <t xml:space="preserve">«Реконструкция котельной по ул. Промышленная, 21 в г. Краснодаре»      </t>
    </r>
  </si>
  <si>
    <t>Итого в текущих ценах 4 кв.2017г с Договорным коэффициентом и НДС</t>
  </si>
  <si>
    <t xml:space="preserve">  Итого в текущих ценах 4 кв.2017 г. с договорным коэффициентом и НДС </t>
  </si>
  <si>
    <t>4 кв.2017 г.</t>
  </si>
  <si>
    <t xml:space="preserve">Наименование объекта: «Реконструкция котельной по ул. Промышленная, 21 в г. Краснодаре»      </t>
  </si>
  <si>
    <t xml:space="preserve">                                                                                   "_____" _____________________ 2017 г.</t>
  </si>
  <si>
    <r>
      <t xml:space="preserve">Рекогносцировочное почвенное обследование при проходимости удовлетворительной:                    </t>
    </r>
    <r>
      <rPr>
        <i/>
        <sz val="10"/>
        <rFont val="Times New Roman"/>
        <family val="1"/>
      </rPr>
      <t>протяженность -  0,2 км</t>
    </r>
  </si>
  <si>
    <t xml:space="preserve"> Итого в текущих ценах 4 кв.2017 г. с договорным коэффициентом и НДС </t>
  </si>
  <si>
    <t>К - индексации 4кв.2017</t>
  </si>
  <si>
    <t>0,3</t>
  </si>
  <si>
    <t xml:space="preserve">                                                                                   _____________________</t>
  </si>
  <si>
    <t xml:space="preserve">Составил: _______________ </t>
  </si>
  <si>
    <t>_____________________</t>
  </si>
  <si>
    <t xml:space="preserve">Составил: _________________ </t>
  </si>
  <si>
    <t>____________________</t>
  </si>
  <si>
    <t>___________________</t>
  </si>
  <si>
    <t xml:space="preserve">_____________________ </t>
  </si>
  <si>
    <t xml:space="preserve">___________________ </t>
  </si>
  <si>
    <t xml:space="preserve">Составил: ________________ </t>
  </si>
</sst>
</file>

<file path=xl/styles.xml><?xml version="1.0" encoding="utf-8"?>
<styleSheet xmlns="http://schemas.openxmlformats.org/spreadsheetml/2006/main">
  <numFmts count="6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_(* #,##0.00_);_(* \(#,##0.00\);_(* &quot;-&quot;??_);_(@_)"/>
    <numFmt numFmtId="182" formatCode="_-* #,##0.00000_р_._-;\-* #,##0.00000_р_._-;_-* &quot;-&quot;??_р_._-;_-@_-"/>
    <numFmt numFmtId="183" formatCode="0.0"/>
    <numFmt numFmtId="184" formatCode="#,##0.0"/>
    <numFmt numFmtId="185" formatCode="0.0000"/>
    <numFmt numFmtId="186" formatCode="0.00000"/>
    <numFmt numFmtId="187" formatCode="[$-FC19]d\ mmmm\ yyyy\ &quot;г.&quot;"/>
    <numFmt numFmtId="188" formatCode="_-* #,##0.000000_р_._-;\-* #,##0.000000_р_._-;_-* &quot;-&quot;??_р_._-;_-@_-"/>
    <numFmt numFmtId="189" formatCode="_-* #,##0.0000_р_._-;\-* #,##0.0000_р_._-;_-* &quot;-&quot;??_р_._-;_-@_-"/>
    <numFmt numFmtId="190" formatCode="_-* #,##0.000_р_._-;\-* #,##0.000_р_._-;_-* &quot;-&quot;??_р_._-;_-@_-"/>
    <numFmt numFmtId="191" formatCode="#,##0.000"/>
    <numFmt numFmtId="192" formatCode="#,##0.0000"/>
    <numFmt numFmtId="193" formatCode="0.000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dd/mm/yyyy&quot; г.&quot;"/>
    <numFmt numFmtId="202" formatCode="#,##0.00000"/>
    <numFmt numFmtId="203" formatCode="#,##0.0000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00000000_);_(* \(#,##0.000000000\);_(* &quot;-&quot;??_);_(@_)"/>
    <numFmt numFmtId="215" formatCode="0.000000000000000"/>
    <numFmt numFmtId="216" formatCode="0.000000000000000000"/>
    <numFmt numFmtId="217" formatCode="_-* #,##0\ _р_._-;\-* #,##0\ _р_._-;_-* &quot;-&quot;\ 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D6009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3" fillId="0" borderId="0" xfId="57" applyFont="1">
      <alignment/>
      <protection/>
    </xf>
    <xf numFmtId="0" fontId="3" fillId="0" borderId="12" xfId="57" applyFont="1" applyBorder="1">
      <alignment/>
      <protection/>
    </xf>
    <xf numFmtId="0" fontId="4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3" fillId="0" borderId="13" xfId="57" applyFont="1" applyBorder="1">
      <alignment/>
      <protection/>
    </xf>
    <xf numFmtId="0" fontId="3" fillId="0" borderId="0" xfId="0" applyFont="1" applyAlignment="1">
      <alignment/>
    </xf>
    <xf numFmtId="49" fontId="3" fillId="0" borderId="11" xfId="57" applyNumberFormat="1" applyFont="1" applyBorder="1" applyAlignment="1">
      <alignment wrapText="1"/>
      <protection/>
    </xf>
    <xf numFmtId="49" fontId="3" fillId="0" borderId="14" xfId="57" applyNumberFormat="1" applyFont="1" applyBorder="1" applyAlignment="1">
      <alignment wrapText="1"/>
      <protection/>
    </xf>
    <xf numFmtId="49" fontId="3" fillId="0" borderId="15" xfId="57" applyNumberFormat="1" applyFont="1" applyBorder="1" applyAlignment="1">
      <alignment wrapText="1"/>
      <protection/>
    </xf>
    <xf numFmtId="49" fontId="3" fillId="0" borderId="16" xfId="57" applyNumberFormat="1" applyFont="1" applyBorder="1" applyAlignment="1">
      <alignment horizontal="left" wrapText="1"/>
      <protection/>
    </xf>
    <xf numFmtId="49" fontId="3" fillId="0" borderId="16" xfId="57" applyNumberFormat="1" applyFont="1" applyBorder="1" applyAlignment="1">
      <alignment wrapText="1"/>
      <protection/>
    </xf>
    <xf numFmtId="4" fontId="3" fillId="0" borderId="10" xfId="57" applyNumberFormat="1" applyFont="1" applyBorder="1" applyAlignment="1">
      <alignment horizontal="right" wrapText="1"/>
      <protection/>
    </xf>
    <xf numFmtId="4" fontId="3" fillId="0" borderId="10" xfId="57" applyNumberFormat="1" applyFont="1" applyBorder="1" applyAlignment="1">
      <alignment horizontal="center" wrapText="1"/>
      <protection/>
    </xf>
    <xf numFmtId="49" fontId="3" fillId="0" borderId="0" xfId="57" applyNumberFormat="1" applyFont="1" applyAlignment="1">
      <alignment horizontal="right" wrapText="1"/>
      <protection/>
    </xf>
    <xf numFmtId="0" fontId="3" fillId="0" borderId="0" xfId="54" applyFont="1">
      <alignment/>
      <protection/>
    </xf>
    <xf numFmtId="0" fontId="3" fillId="0" borderId="17" xfId="54" applyFont="1" applyBorder="1" applyAlignment="1">
      <alignment horizontal="left" vertical="center"/>
      <protection/>
    </xf>
    <xf numFmtId="0" fontId="3" fillId="0" borderId="18" xfId="54" applyFont="1" applyBorder="1" applyAlignment="1">
      <alignment horizontal="left" vertical="center" wrapText="1" indent="1"/>
      <protection/>
    </xf>
    <xf numFmtId="0" fontId="3" fillId="0" borderId="18" xfId="54" applyFont="1" applyBorder="1" applyAlignment="1">
      <alignment horizontal="left" vertical="center" indent="1"/>
      <protection/>
    </xf>
    <xf numFmtId="0" fontId="3" fillId="0" borderId="19" xfId="54" applyFont="1" applyFill="1" applyBorder="1" applyAlignment="1">
      <alignment vertical="center" wrapText="1"/>
      <protection/>
    </xf>
    <xf numFmtId="0" fontId="3" fillId="0" borderId="20" xfId="54" applyFont="1" applyFill="1" applyBorder="1" applyAlignment="1">
      <alignment vertical="center" wrapText="1"/>
      <protection/>
    </xf>
    <xf numFmtId="0" fontId="3" fillId="0" borderId="17" xfId="54" applyFont="1" applyBorder="1" applyAlignment="1">
      <alignment vertical="center"/>
      <protection/>
    </xf>
    <xf numFmtId="0" fontId="7" fillId="0" borderId="17" xfId="54" applyFont="1" applyBorder="1" applyAlignment="1">
      <alignment vertical="center"/>
      <protection/>
    </xf>
    <xf numFmtId="0" fontId="4" fillId="0" borderId="17" xfId="54" applyFont="1" applyBorder="1" applyAlignment="1">
      <alignment vertical="center"/>
      <protection/>
    </xf>
    <xf numFmtId="0" fontId="4" fillId="0" borderId="21" xfId="54" applyFont="1" applyBorder="1" applyAlignment="1">
      <alignment vertical="center"/>
      <protection/>
    </xf>
    <xf numFmtId="0" fontId="3" fillId="0" borderId="22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4" fontId="4" fillId="0" borderId="23" xfId="54" applyNumberFormat="1" applyFont="1" applyFill="1" applyBorder="1" applyAlignment="1">
      <alignment horizontal="right" vertical="center"/>
      <protection/>
    </xf>
    <xf numFmtId="201" fontId="3" fillId="0" borderId="23" xfId="54" applyNumberFormat="1" applyFont="1" applyFill="1" applyBorder="1" applyAlignment="1">
      <alignment horizontal="right" vertical="center"/>
      <protection/>
    </xf>
    <xf numFmtId="4" fontId="3" fillId="0" borderId="23" xfId="54" applyNumberFormat="1" applyFont="1" applyFill="1" applyBorder="1" applyAlignment="1">
      <alignment horizontal="right" vertical="center"/>
      <protection/>
    </xf>
    <xf numFmtId="4" fontId="4" fillId="0" borderId="23" xfId="54" applyNumberFormat="1" applyFont="1" applyFill="1" applyBorder="1" applyAlignment="1">
      <alignment vertical="center"/>
      <protection/>
    </xf>
    <xf numFmtId="4" fontId="3" fillId="0" borderId="23" xfId="54" applyNumberFormat="1" applyFont="1" applyFill="1" applyBorder="1" applyAlignment="1">
      <alignment vertical="center"/>
      <protection/>
    </xf>
    <xf numFmtId="4" fontId="4" fillId="0" borderId="24" xfId="54" applyNumberFormat="1" applyFont="1" applyFill="1" applyBorder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191" fontId="3" fillId="0" borderId="23" xfId="54" applyNumberFormat="1" applyFont="1" applyFill="1" applyBorder="1" applyAlignment="1">
      <alignment horizontal="right" vertical="center"/>
      <protection/>
    </xf>
    <xf numFmtId="192" fontId="3" fillId="0" borderId="23" xfId="5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3" fillId="0" borderId="0" xfId="57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4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49" fontId="4" fillId="0" borderId="0" xfId="57" applyNumberFormat="1" applyFont="1" applyAlignment="1">
      <alignment horizontal="center" vertical="top" wrapText="1"/>
      <protection/>
    </xf>
    <xf numFmtId="49" fontId="3" fillId="0" borderId="0" xfId="57" applyNumberFormat="1" applyFont="1" applyAlignment="1">
      <alignment horizontal="center" wrapText="1"/>
      <protection/>
    </xf>
    <xf numFmtId="49" fontId="3" fillId="0" borderId="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wrapText="1"/>
      <protection/>
    </xf>
    <xf numFmtId="49" fontId="3" fillId="0" borderId="15" xfId="57" applyNumberFormat="1" applyFont="1" applyBorder="1" applyAlignment="1">
      <alignment horizontal="center" vertical="top" wrapText="1"/>
      <protection/>
    </xf>
    <xf numFmtId="49" fontId="3" fillId="0" borderId="15" xfId="57" applyNumberFormat="1" applyFont="1" applyFill="1" applyBorder="1" applyAlignment="1">
      <alignment vertical="top" wrapText="1"/>
      <protection/>
    </xf>
    <xf numFmtId="0" fontId="50" fillId="0" borderId="16" xfId="0" applyFont="1" applyBorder="1" applyAlignment="1">
      <alignment horizontal="right"/>
    </xf>
    <xf numFmtId="2" fontId="3" fillId="0" borderId="16" xfId="57" applyNumberFormat="1" applyFont="1" applyBorder="1" applyAlignment="1">
      <alignment horizontal="right" wrapText="1"/>
      <protection/>
    </xf>
    <xf numFmtId="0" fontId="3" fillId="0" borderId="16" xfId="57" applyNumberFormat="1" applyFont="1" applyBorder="1" applyAlignment="1">
      <alignment wrapText="1"/>
      <protection/>
    </xf>
    <xf numFmtId="0" fontId="3" fillId="0" borderId="16" xfId="57" applyNumberFormat="1" applyFont="1" applyBorder="1" applyAlignment="1">
      <alignment horizontal="left" wrapText="1"/>
      <protection/>
    </xf>
    <xf numFmtId="180" fontId="3" fillId="0" borderId="16" xfId="57" applyNumberFormat="1" applyFont="1" applyBorder="1" applyAlignment="1">
      <alignment horizontal="left" wrapText="1"/>
      <protection/>
    </xf>
    <xf numFmtId="183" fontId="3" fillId="0" borderId="16" xfId="0" applyNumberFormat="1" applyFont="1" applyBorder="1" applyAlignment="1">
      <alignment/>
    </xf>
    <xf numFmtId="191" fontId="3" fillId="0" borderId="15" xfId="57" applyNumberFormat="1" applyFont="1" applyBorder="1" applyAlignment="1">
      <alignment horizontal="right" wrapText="1"/>
      <protection/>
    </xf>
    <xf numFmtId="49" fontId="3" fillId="0" borderId="12" xfId="57" applyNumberFormat="1" applyFont="1" applyBorder="1" applyAlignment="1">
      <alignment horizontal="center" wrapText="1"/>
      <protection/>
    </xf>
    <xf numFmtId="49" fontId="3" fillId="0" borderId="12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Border="1" applyAlignment="1">
      <alignment horizontal="left" vertical="top" wrapText="1"/>
      <protection/>
    </xf>
    <xf numFmtId="2" fontId="3" fillId="0" borderId="25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left" vertical="top" wrapText="1"/>
      <protection/>
    </xf>
    <xf numFmtId="49" fontId="3" fillId="0" borderId="0" xfId="57" applyNumberFormat="1" applyFont="1" applyBorder="1" applyAlignment="1">
      <alignment horizontal="left" vertical="top" wrapText="1"/>
      <protection/>
    </xf>
    <xf numFmtId="49" fontId="3" fillId="0" borderId="26" xfId="57" applyNumberFormat="1" applyFont="1" applyBorder="1" applyAlignment="1">
      <alignment horizontal="left" vertical="top" wrapText="1"/>
      <protection/>
    </xf>
    <xf numFmtId="180" fontId="3" fillId="0" borderId="12" xfId="57" applyNumberFormat="1" applyFont="1" applyBorder="1" applyAlignment="1">
      <alignment horizontal="right" vertical="top" wrapText="1"/>
      <protection/>
    </xf>
    <xf numFmtId="0" fontId="3" fillId="0" borderId="25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right" wrapText="1"/>
      <protection/>
    </xf>
    <xf numFmtId="0" fontId="3" fillId="0" borderId="0" xfId="57" applyNumberFormat="1" applyFont="1" applyBorder="1" applyAlignment="1">
      <alignment horizontal="left" wrapText="1"/>
      <protection/>
    </xf>
    <xf numFmtId="0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wrapText="1"/>
      <protection/>
    </xf>
    <xf numFmtId="49" fontId="3" fillId="0" borderId="0" xfId="57" applyNumberFormat="1" applyFont="1" applyBorder="1" applyAlignment="1">
      <alignment horizontal="left" wrapText="1"/>
      <protection/>
    </xf>
    <xf numFmtId="2" fontId="3" fillId="0" borderId="0" xfId="57" applyNumberFormat="1" applyFont="1" applyFill="1" applyBorder="1" applyAlignment="1">
      <alignment horizontal="left" wrapText="1"/>
      <protection/>
    </xf>
    <xf numFmtId="183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horizontal="center" wrapText="1"/>
      <protection/>
    </xf>
    <xf numFmtId="49" fontId="3" fillId="0" borderId="25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Fill="1" applyBorder="1" applyAlignment="1">
      <alignment horizontal="left" vertical="top" wrapText="1"/>
      <protection/>
    </xf>
    <xf numFmtId="0" fontId="3" fillId="0" borderId="27" xfId="57" applyNumberFormat="1" applyFont="1" applyBorder="1" applyAlignment="1">
      <alignment vertical="top" wrapText="1"/>
      <protection/>
    </xf>
    <xf numFmtId="0" fontId="3" fillId="0" borderId="14" xfId="57" applyNumberFormat="1" applyFont="1" applyBorder="1" applyAlignment="1">
      <alignment vertical="top" wrapText="1"/>
      <protection/>
    </xf>
    <xf numFmtId="49" fontId="3" fillId="0" borderId="25" xfId="57" applyNumberFormat="1" applyFont="1" applyBorder="1" applyAlignment="1">
      <alignment horizontal="center" wrapText="1"/>
      <protection/>
    </xf>
    <xf numFmtId="0" fontId="3" fillId="0" borderId="25" xfId="58" applyNumberFormat="1" applyFont="1" applyBorder="1" applyAlignment="1">
      <alignment horizontal="left" vertical="top" wrapText="1"/>
      <protection/>
    </xf>
    <xf numFmtId="0" fontId="3" fillId="0" borderId="28" xfId="57" applyNumberFormat="1" applyFont="1" applyBorder="1" applyAlignment="1">
      <alignment horizontal="left" vertical="top" wrapText="1"/>
      <protection/>
    </xf>
    <xf numFmtId="49" fontId="3" fillId="0" borderId="28" xfId="57" applyNumberFormat="1" applyFont="1" applyBorder="1" applyAlignment="1">
      <alignment horizontal="left" vertical="top" wrapText="1"/>
      <protection/>
    </xf>
    <xf numFmtId="49" fontId="3" fillId="0" borderId="29" xfId="57" applyNumberFormat="1" applyFont="1" applyBorder="1" applyAlignment="1">
      <alignment horizontal="left" vertical="top" wrapText="1"/>
      <protection/>
    </xf>
    <xf numFmtId="180" fontId="3" fillId="0" borderId="25" xfId="57" applyNumberFormat="1" applyFont="1" applyBorder="1" applyAlignment="1">
      <alignment horizontal="right" vertical="top" wrapText="1"/>
      <protection/>
    </xf>
    <xf numFmtId="2" fontId="3" fillId="0" borderId="13" xfId="57" applyNumberFormat="1" applyFont="1" applyBorder="1" applyAlignment="1">
      <alignment horizontal="right" vertical="top" wrapText="1"/>
      <protection/>
    </xf>
    <xf numFmtId="2" fontId="3" fillId="0" borderId="0" xfId="57" applyNumberFormat="1" applyFont="1" applyBorder="1" applyAlignment="1">
      <alignment horizontal="center" vertical="top" wrapText="1"/>
      <protection/>
    </xf>
    <xf numFmtId="4" fontId="3" fillId="0" borderId="12" xfId="57" applyNumberFormat="1" applyFont="1" applyBorder="1" applyAlignment="1">
      <alignment horizontal="center" vertical="top" wrapText="1"/>
      <protection/>
    </xf>
    <xf numFmtId="49" fontId="3" fillId="0" borderId="25" xfId="57" applyNumberFormat="1" applyFont="1" applyBorder="1" applyAlignment="1">
      <alignment horizontal="left" vertical="top" wrapText="1"/>
      <protection/>
    </xf>
    <xf numFmtId="49" fontId="3" fillId="0" borderId="25" xfId="57" applyNumberFormat="1" applyFont="1" applyBorder="1" applyAlignment="1">
      <alignment horizontal="center" vertical="top" wrapText="1"/>
      <protection/>
    </xf>
    <xf numFmtId="4" fontId="3" fillId="0" borderId="25" xfId="57" applyNumberFormat="1" applyFont="1" applyBorder="1" applyAlignment="1">
      <alignment horizontal="right" vertical="top" wrapText="1"/>
      <protection/>
    </xf>
    <xf numFmtId="49" fontId="3" fillId="0" borderId="13" xfId="57" applyNumberFormat="1" applyFont="1" applyBorder="1" applyAlignment="1">
      <alignment horizontal="left" vertical="top" wrapText="1"/>
      <protection/>
    </xf>
    <xf numFmtId="4" fontId="3" fillId="0" borderId="12" xfId="57" applyNumberFormat="1" applyFont="1" applyBorder="1" applyAlignment="1">
      <alignment horizontal="right" vertical="top" wrapText="1"/>
      <protection/>
    </xf>
    <xf numFmtId="4" fontId="3" fillId="0" borderId="10" xfId="0" applyNumberFormat="1" applyFont="1" applyBorder="1" applyAlignment="1">
      <alignment/>
    </xf>
    <xf numFmtId="49" fontId="3" fillId="0" borderId="10" xfId="57" applyNumberFormat="1" applyFont="1" applyBorder="1" applyAlignment="1">
      <alignment horizontal="center" vertical="top" wrapText="1"/>
      <protection/>
    </xf>
    <xf numFmtId="9" fontId="3" fillId="0" borderId="10" xfId="57" applyNumberFormat="1" applyFont="1" applyBorder="1" applyAlignment="1">
      <alignment horizontal="left" wrapText="1"/>
      <protection/>
    </xf>
    <xf numFmtId="0" fontId="3" fillId="0" borderId="11" xfId="57" applyNumberFormat="1" applyFont="1" applyBorder="1" applyAlignment="1">
      <alignment horizontal="left" vertical="top" wrapText="1" indent="1"/>
      <protection/>
    </xf>
    <xf numFmtId="4" fontId="3" fillId="0" borderId="25" xfId="0" applyNumberFormat="1" applyFont="1" applyBorder="1" applyAlignment="1">
      <alignment/>
    </xf>
    <xf numFmtId="0" fontId="50" fillId="0" borderId="0" xfId="66" applyFont="1">
      <alignment/>
      <protection/>
    </xf>
    <xf numFmtId="0" fontId="50" fillId="0" borderId="0" xfId="66" applyFont="1" applyFill="1" applyAlignment="1">
      <alignment/>
      <protection/>
    </xf>
    <xf numFmtId="0" fontId="3" fillId="0" borderId="11" xfId="57" applyFont="1" applyBorder="1" applyAlignment="1">
      <alignment wrapText="1"/>
      <protection/>
    </xf>
    <xf numFmtId="0" fontId="6" fillId="33" borderId="17" xfId="54" applyFont="1" applyFill="1" applyBorder="1" applyAlignment="1">
      <alignment horizontal="left" vertical="center"/>
      <protection/>
    </xf>
    <xf numFmtId="4" fontId="4" fillId="0" borderId="14" xfId="58" applyNumberFormat="1" applyFont="1" applyBorder="1" applyAlignment="1">
      <alignment horizontal="center"/>
      <protection/>
    </xf>
    <xf numFmtId="0" fontId="4" fillId="0" borderId="14" xfId="58" applyFont="1" applyBorder="1">
      <alignment/>
      <protection/>
    </xf>
    <xf numFmtId="0" fontId="4" fillId="0" borderId="11" xfId="58" applyFont="1" applyBorder="1">
      <alignment/>
      <protection/>
    </xf>
    <xf numFmtId="0" fontId="3" fillId="0" borderId="27" xfId="58" applyFont="1" applyBorder="1">
      <alignment/>
      <protection/>
    </xf>
    <xf numFmtId="4" fontId="3" fillId="0" borderId="10" xfId="58" applyNumberFormat="1" applyFont="1" applyBorder="1" applyAlignment="1">
      <alignment horizontal="center" vertical="center"/>
      <protection/>
    </xf>
    <xf numFmtId="2" fontId="4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4" fontId="3" fillId="0" borderId="14" xfId="58" applyNumberFormat="1" applyFont="1" applyBorder="1" applyAlignment="1">
      <alignment horizontal="center"/>
      <protection/>
    </xf>
    <xf numFmtId="0" fontId="3" fillId="0" borderId="14" xfId="58" applyFont="1" applyBorder="1">
      <alignment/>
      <protection/>
    </xf>
    <xf numFmtId="0" fontId="3" fillId="0" borderId="11" xfId="58" applyFont="1" applyBorder="1">
      <alignment/>
      <protection/>
    </xf>
    <xf numFmtId="198" fontId="3" fillId="0" borderId="11" xfId="57" applyNumberFormat="1" applyFont="1" applyBorder="1" applyAlignment="1">
      <alignment vertical="top"/>
      <protection/>
    </xf>
    <xf numFmtId="198" fontId="3" fillId="0" borderId="27" xfId="57" applyNumberFormat="1" applyFont="1" applyBorder="1" applyAlignment="1">
      <alignment vertical="top"/>
      <protection/>
    </xf>
    <xf numFmtId="2" fontId="3" fillId="0" borderId="10" xfId="57" applyNumberFormat="1" applyFont="1" applyBorder="1" applyAlignment="1">
      <alignment vertical="top"/>
      <protection/>
    </xf>
    <xf numFmtId="49" fontId="3" fillId="0" borderId="14" xfId="57" applyNumberFormat="1" applyFont="1" applyFill="1" applyBorder="1" applyAlignment="1">
      <alignment horizontal="left" vertical="top" wrapText="1"/>
      <protection/>
    </xf>
    <xf numFmtId="49" fontId="3" fillId="0" borderId="27" xfId="57" applyNumberFormat="1" applyFont="1" applyFill="1" applyBorder="1" applyAlignment="1">
      <alignment horizontal="left" vertical="top" wrapText="1"/>
      <protection/>
    </xf>
    <xf numFmtId="0" fontId="3" fillId="0" borderId="10" xfId="58" applyFont="1" applyBorder="1">
      <alignment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/>
      <protection/>
    </xf>
    <xf numFmtId="0" fontId="3" fillId="0" borderId="30" xfId="58" applyFont="1" applyFill="1" applyBorder="1" applyAlignment="1">
      <alignment horizontal="left" vertical="top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right" vertical="center"/>
      <protection/>
    </xf>
    <xf numFmtId="0" fontId="8" fillId="0" borderId="11" xfId="58" applyFont="1" applyBorder="1" applyAlignment="1">
      <alignment vertical="center" wrapText="1"/>
      <protection/>
    </xf>
    <xf numFmtId="0" fontId="9" fillId="0" borderId="11" xfId="58" applyFont="1" applyBorder="1" applyAlignment="1">
      <alignment vertical="center" wrapText="1"/>
      <protection/>
    </xf>
    <xf numFmtId="0" fontId="3" fillId="0" borderId="27" xfId="58" applyFont="1" applyBorder="1" applyAlignment="1">
      <alignment horizontal="center" vertical="center"/>
      <protection/>
    </xf>
    <xf numFmtId="183" fontId="3" fillId="0" borderId="16" xfId="58" applyNumberFormat="1" applyFont="1" applyBorder="1" applyAlignment="1">
      <alignment horizontal="center" vertical="center"/>
      <protection/>
    </xf>
    <xf numFmtId="0" fontId="3" fillId="0" borderId="31" xfId="58" applyFont="1" applyBorder="1" applyAlignment="1">
      <alignment horizontal="center" vertical="center"/>
      <protection/>
    </xf>
    <xf numFmtId="0" fontId="3" fillId="0" borderId="31" xfId="58" applyFont="1" applyBorder="1" applyAlignment="1">
      <alignment vertical="center" wrapText="1"/>
      <protection/>
    </xf>
    <xf numFmtId="9" fontId="3" fillId="0" borderId="14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30" xfId="58" applyFont="1" applyBorder="1" applyAlignment="1">
      <alignment horizontal="center" vertical="center"/>
      <protection/>
    </xf>
    <xf numFmtId="183" fontId="3" fillId="0" borderId="14" xfId="58" applyNumberFormat="1" applyFont="1" applyBorder="1" applyAlignment="1">
      <alignment horizontal="center" vertical="center"/>
      <protection/>
    </xf>
    <xf numFmtId="183" fontId="3" fillId="0" borderId="11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3" fillId="0" borderId="10" xfId="58" applyNumberFormat="1" applyFont="1" applyBorder="1" applyAlignment="1">
      <alignment vertical="center" wrapText="1"/>
      <protection/>
    </xf>
    <xf numFmtId="4" fontId="3" fillId="0" borderId="25" xfId="58" applyNumberFormat="1" applyFont="1" applyBorder="1" applyAlignment="1">
      <alignment horizontal="center" vertical="center"/>
      <protection/>
    </xf>
    <xf numFmtId="0" fontId="3" fillId="0" borderId="28" xfId="58" applyFont="1" applyBorder="1" applyAlignment="1">
      <alignment horizontal="right" vertical="center"/>
      <protection/>
    </xf>
    <xf numFmtId="0" fontId="3" fillId="0" borderId="28" xfId="58" applyFont="1" applyBorder="1" applyAlignment="1">
      <alignment horizontal="center" vertical="center"/>
      <protection/>
    </xf>
    <xf numFmtId="0" fontId="5" fillId="0" borderId="28" xfId="58" applyFont="1" applyBorder="1" applyAlignment="1">
      <alignment vertical="center" wrapText="1"/>
      <protection/>
    </xf>
    <xf numFmtId="0" fontId="3" fillId="0" borderId="28" xfId="58" applyFont="1" applyBorder="1" applyAlignment="1">
      <alignment vertical="center" wrapText="1"/>
      <protection/>
    </xf>
    <xf numFmtId="4" fontId="3" fillId="0" borderId="12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 wrapText="1"/>
      <protection/>
    </xf>
    <xf numFmtId="0" fontId="4" fillId="0" borderId="0" xfId="58" applyFont="1" applyBorder="1" applyAlignment="1">
      <alignment vertical="center" wrapText="1"/>
      <protection/>
    </xf>
    <xf numFmtId="0" fontId="3" fillId="0" borderId="13" xfId="58" applyFont="1" applyBorder="1" applyAlignment="1">
      <alignment horizontal="center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8" fillId="0" borderId="16" xfId="58" applyFont="1" applyBorder="1" applyAlignment="1">
      <alignment vertical="center" wrapText="1"/>
      <protection/>
    </xf>
    <xf numFmtId="0" fontId="3" fillId="0" borderId="16" xfId="58" applyFont="1" applyBorder="1" applyAlignment="1">
      <alignment vertical="center" wrapText="1"/>
      <protection/>
    </xf>
    <xf numFmtId="4" fontId="3" fillId="0" borderId="12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3" xfId="58" applyFont="1" applyBorder="1" applyAlignment="1">
      <alignment vertical="top" wrapText="1"/>
      <protection/>
    </xf>
    <xf numFmtId="0" fontId="3" fillId="0" borderId="25" xfId="58" applyFont="1" applyBorder="1" applyAlignment="1">
      <alignment vertical="top" wrapText="1"/>
      <protection/>
    </xf>
    <xf numFmtId="2" fontId="3" fillId="0" borderId="0" xfId="58" applyNumberFormat="1" applyFont="1">
      <alignment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Border="1">
      <alignment/>
      <protection/>
    </xf>
    <xf numFmtId="0" fontId="3" fillId="0" borderId="13" xfId="58" applyFont="1" applyBorder="1">
      <alignment/>
      <protection/>
    </xf>
    <xf numFmtId="0" fontId="3" fillId="0" borderId="0" xfId="58" applyFont="1">
      <alignment/>
      <protection/>
    </xf>
    <xf numFmtId="4" fontId="3" fillId="0" borderId="12" xfId="58" applyNumberFormat="1" applyFont="1" applyFill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wrapText="1"/>
      <protection/>
    </xf>
    <xf numFmtId="0" fontId="4" fillId="0" borderId="26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left" vertical="top" wrapText="1"/>
      <protection/>
    </xf>
    <xf numFmtId="0" fontId="3" fillId="0" borderId="13" xfId="58" applyFont="1" applyBorder="1" applyAlignment="1">
      <alignment horizontal="center" wrapText="1"/>
      <protection/>
    </xf>
    <xf numFmtId="0" fontId="3" fillId="0" borderId="26" xfId="58" applyFont="1" applyBorder="1">
      <alignment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wrapText="1"/>
      <protection/>
    </xf>
    <xf numFmtId="0" fontId="3" fillId="0" borderId="32" xfId="58" applyFont="1" applyBorder="1">
      <alignment/>
      <protection/>
    </xf>
    <xf numFmtId="0" fontId="3" fillId="0" borderId="15" xfId="58" applyFont="1" applyBorder="1" applyAlignment="1">
      <alignment horizontal="center" wrapText="1"/>
      <protection/>
    </xf>
    <xf numFmtId="0" fontId="3" fillId="0" borderId="31" xfId="58" applyFont="1" applyBorder="1" applyAlignment="1">
      <alignment horizont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28" xfId="58" applyFont="1" applyBorder="1" applyAlignment="1">
      <alignment horizontal="center" wrapText="1"/>
      <protection/>
    </xf>
    <xf numFmtId="0" fontId="4" fillId="0" borderId="0" xfId="58" applyFont="1" applyAlignment="1">
      <alignment horizontal="center" wrapText="1"/>
      <protection/>
    </xf>
    <xf numFmtId="14" fontId="3" fillId="0" borderId="0" xfId="58" applyNumberFormat="1" applyFont="1" applyAlignment="1">
      <alignment horizontal="right"/>
      <protection/>
    </xf>
    <xf numFmtId="0" fontId="6" fillId="0" borderId="0" xfId="67" applyFont="1" applyAlignment="1" applyProtection="1">
      <alignment vertical="top" wrapText="1"/>
      <protection locked="0"/>
    </xf>
    <xf numFmtId="0" fontId="3" fillId="0" borderId="0" xfId="58" applyFont="1" applyAlignment="1">
      <alignment horizontal="center" vertical="center"/>
      <protection/>
    </xf>
    <xf numFmtId="0" fontId="6" fillId="0" borderId="0" xfId="67" applyFont="1" applyAlignment="1" applyProtection="1">
      <alignment horizontal="left" vertical="top" wrapText="1"/>
      <protection locked="0"/>
    </xf>
    <xf numFmtId="0" fontId="6" fillId="0" borderId="0" xfId="67" applyFont="1" applyAlignment="1" applyProtection="1">
      <alignment wrapText="1"/>
      <protection locked="0"/>
    </xf>
    <xf numFmtId="0" fontId="6" fillId="0" borderId="0" xfId="67" applyFont="1" applyAlignment="1" applyProtection="1">
      <alignment horizontal="left" wrapText="1"/>
      <protection locked="0"/>
    </xf>
    <xf numFmtId="217" fontId="6" fillId="0" borderId="0" xfId="67" applyNumberFormat="1" applyFont="1" applyAlignment="1" applyProtection="1">
      <alignment vertical="top" wrapText="1"/>
      <protection locked="0"/>
    </xf>
    <xf numFmtId="0" fontId="3" fillId="0" borderId="0" xfId="67" applyFont="1" applyAlignment="1">
      <alignment/>
      <protection/>
    </xf>
    <xf numFmtId="0" fontId="3" fillId="0" borderId="0" xfId="58" applyFont="1" applyAlignment="1">
      <alignment/>
      <protection/>
    </xf>
    <xf numFmtId="4" fontId="51" fillId="0" borderId="10" xfId="58" applyNumberFormat="1" applyFont="1" applyBorder="1" applyAlignment="1">
      <alignment horizontal="center" wrapText="1"/>
      <protection/>
    </xf>
    <xf numFmtId="4" fontId="50" fillId="0" borderId="14" xfId="58" applyNumberFormat="1" applyFont="1" applyBorder="1" applyAlignment="1">
      <alignment horizontal="center" wrapText="1"/>
      <protection/>
    </xf>
    <xf numFmtId="0" fontId="51" fillId="0" borderId="29" xfId="58" applyFont="1" applyBorder="1" applyAlignment="1">
      <alignment horizontal="left" vertical="center" wrapText="1"/>
      <protection/>
    </xf>
    <xf numFmtId="0" fontId="51" fillId="0" borderId="28" xfId="58" applyFont="1" applyBorder="1" applyAlignment="1">
      <alignment horizontal="left" vertical="center" wrapText="1"/>
      <protection/>
    </xf>
    <xf numFmtId="0" fontId="51" fillId="0" borderId="30" xfId="58" applyFont="1" applyBorder="1" applyAlignment="1">
      <alignment horizontal="left" vertical="center" wrapText="1"/>
      <protection/>
    </xf>
    <xf numFmtId="0" fontId="50" fillId="0" borderId="10" xfId="58" applyFont="1" applyBorder="1" applyAlignment="1">
      <alignment horizontal="center" wrapText="1"/>
      <protection/>
    </xf>
    <xf numFmtId="4" fontId="50" fillId="0" borderId="10" xfId="58" applyNumberFormat="1" applyFont="1" applyBorder="1" applyAlignment="1">
      <alignment horizontal="center" wrapText="1"/>
      <protection/>
    </xf>
    <xf numFmtId="0" fontId="50" fillId="0" borderId="26" xfId="58" applyFont="1" applyBorder="1" applyAlignment="1">
      <alignment horizontal="center" vertical="center" wrapText="1"/>
      <protection/>
    </xf>
    <xf numFmtId="0" fontId="50" fillId="0" borderId="0" xfId="58" applyFont="1" applyBorder="1" applyAlignment="1">
      <alignment horizontal="center" vertical="center" wrapText="1"/>
      <protection/>
    </xf>
    <xf numFmtId="0" fontId="50" fillId="0" borderId="13" xfId="58" applyFont="1" applyBorder="1" applyAlignment="1">
      <alignment horizontal="center" vertical="center" wrapText="1"/>
      <protection/>
    </xf>
    <xf numFmtId="0" fontId="50" fillId="0" borderId="27" xfId="58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left" vertical="center" wrapText="1"/>
      <protection/>
    </xf>
    <xf numFmtId="4" fontId="50" fillId="0" borderId="25" xfId="58" applyNumberFormat="1" applyFont="1" applyBorder="1" applyAlignment="1">
      <alignment horizontal="center" wrapText="1"/>
      <protection/>
    </xf>
    <xf numFmtId="4" fontId="50" fillId="0" borderId="29" xfId="58" applyNumberFormat="1" applyFont="1" applyBorder="1" applyAlignment="1">
      <alignment horizontal="center" wrapText="1"/>
      <protection/>
    </xf>
    <xf numFmtId="0" fontId="50" fillId="0" borderId="30" xfId="58" applyFont="1" applyBorder="1" applyAlignment="1">
      <alignment horizontal="center" vertical="center" wrapText="1"/>
      <protection/>
    </xf>
    <xf numFmtId="0" fontId="50" fillId="0" borderId="25" xfId="57" applyFont="1" applyBorder="1" applyAlignment="1">
      <alignment horizontal="left" vertical="top" wrapText="1"/>
      <protection/>
    </xf>
    <xf numFmtId="4" fontId="51" fillId="0" borderId="14" xfId="58" applyNumberFormat="1" applyFont="1" applyBorder="1" applyAlignment="1">
      <alignment horizontal="center" wrapText="1"/>
      <protection/>
    </xf>
    <xf numFmtId="0" fontId="51" fillId="0" borderId="32" xfId="58" applyFont="1" applyBorder="1" applyAlignment="1">
      <alignment horizontal="left" vertical="center" wrapText="1"/>
      <protection/>
    </xf>
    <xf numFmtId="0" fontId="51" fillId="0" borderId="16" xfId="58" applyFont="1" applyBorder="1" applyAlignment="1">
      <alignment horizontal="left" vertical="center" wrapText="1"/>
      <protection/>
    </xf>
    <xf numFmtId="0" fontId="51" fillId="0" borderId="31" xfId="58" applyFont="1" applyBorder="1" applyAlignment="1">
      <alignment horizontal="left" vertical="center" wrapText="1"/>
      <protection/>
    </xf>
    <xf numFmtId="2" fontId="50" fillId="0" borderId="10" xfId="58" applyNumberFormat="1" applyFont="1" applyBorder="1" applyAlignment="1">
      <alignment horizontal="center" wrapText="1"/>
      <protection/>
    </xf>
    <xf numFmtId="2" fontId="50" fillId="0" borderId="14" xfId="58" applyNumberFormat="1" applyFont="1" applyBorder="1" applyAlignment="1">
      <alignment horizontal="center" wrapText="1"/>
      <protection/>
    </xf>
    <xf numFmtId="0" fontId="50" fillId="0" borderId="14" xfId="58" applyFont="1" applyBorder="1" applyAlignment="1">
      <alignment horizontal="center" vertical="center" wrapText="1"/>
      <protection/>
    </xf>
    <xf numFmtId="0" fontId="50" fillId="0" borderId="11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27" xfId="58" applyFont="1" applyBorder="1" applyAlignment="1">
      <alignment horizontal="center" vertical="center" wrapText="1"/>
      <protection/>
    </xf>
    <xf numFmtId="2" fontId="51" fillId="0" borderId="10" xfId="58" applyNumberFormat="1" applyFont="1" applyBorder="1" applyAlignment="1">
      <alignment horizontal="center" wrapText="1"/>
      <protection/>
    </xf>
    <xf numFmtId="0" fontId="51" fillId="0" borderId="10" xfId="58" applyFont="1" applyBorder="1" applyAlignment="1">
      <alignment horizontal="center" wrapText="1"/>
      <protection/>
    </xf>
    <xf numFmtId="0" fontId="51" fillId="0" borderId="11" xfId="58" applyFont="1" applyBorder="1" applyAlignment="1">
      <alignment horizontal="left" vertical="center" wrapText="1"/>
      <protection/>
    </xf>
    <xf numFmtId="2" fontId="50" fillId="0" borderId="14" xfId="58" applyNumberFormat="1" applyFont="1" applyBorder="1" applyAlignment="1">
      <alignment horizontal="center"/>
      <protection/>
    </xf>
    <xf numFmtId="0" fontId="50" fillId="0" borderId="29" xfId="58" applyFont="1" applyFill="1" applyBorder="1" applyAlignment="1">
      <alignment horizontal="center" vertical="center"/>
      <protection/>
    </xf>
    <xf numFmtId="0" fontId="50" fillId="0" borderId="28" xfId="58" applyFont="1" applyFill="1" applyBorder="1" applyAlignment="1">
      <alignment horizontal="center" vertical="center"/>
      <protection/>
    </xf>
    <xf numFmtId="0" fontId="50" fillId="0" borderId="27" xfId="58" applyFont="1" applyFill="1" applyBorder="1" applyAlignment="1">
      <alignment horizontal="center" vertical="center"/>
      <protection/>
    </xf>
    <xf numFmtId="0" fontId="50" fillId="0" borderId="10" xfId="58" applyFont="1" applyBorder="1" applyAlignment="1">
      <alignment horizontal="center" vertical="center"/>
      <protection/>
    </xf>
    <xf numFmtId="0" fontId="50" fillId="0" borderId="14" xfId="58" applyFont="1" applyBorder="1" applyAlignment="1">
      <alignment horizontal="center"/>
      <protection/>
    </xf>
    <xf numFmtId="0" fontId="50" fillId="0" borderId="14" xfId="58" applyFont="1" applyBorder="1" applyAlignment="1">
      <alignment horizontal="center" vertical="center"/>
      <protection/>
    </xf>
    <xf numFmtId="0" fontId="50" fillId="0" borderId="11" xfId="58" applyFont="1" applyBorder="1" applyAlignment="1">
      <alignment horizontal="center" vertical="center"/>
      <protection/>
    </xf>
    <xf numFmtId="0" fontId="50" fillId="0" borderId="27" xfId="58" applyFont="1" applyBorder="1" applyAlignment="1">
      <alignment horizontal="center" vertical="center"/>
      <protection/>
    </xf>
    <xf numFmtId="0" fontId="3" fillId="34" borderId="14" xfId="58" applyFont="1" applyFill="1" applyBorder="1" applyAlignment="1">
      <alignment horizontal="center" wrapText="1"/>
      <protection/>
    </xf>
    <xf numFmtId="0" fontId="3" fillId="34" borderId="32" xfId="58" applyFont="1" applyFill="1" applyBorder="1" applyAlignment="1">
      <alignment horizontal="center" vertical="center" wrapText="1"/>
      <protection/>
    </xf>
    <xf numFmtId="0" fontId="3" fillId="34" borderId="16" xfId="58" applyFont="1" applyFill="1" applyBorder="1" applyAlignment="1">
      <alignment horizontal="center" vertical="center" wrapText="1"/>
      <protection/>
    </xf>
    <xf numFmtId="0" fontId="3" fillId="34" borderId="31" xfId="58" applyFont="1" applyFill="1" applyBorder="1" applyAlignment="1">
      <alignment horizontal="center" vertical="center" wrapText="1"/>
      <protection/>
    </xf>
    <xf numFmtId="0" fontId="3" fillId="34" borderId="27" xfId="58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wrapText="1"/>
      <protection/>
    </xf>
    <xf numFmtId="2" fontId="51" fillId="0" borderId="14" xfId="58" applyNumberFormat="1" applyFont="1" applyBorder="1" applyAlignment="1">
      <alignment horizontal="center" wrapText="1"/>
      <protection/>
    </xf>
    <xf numFmtId="0" fontId="50" fillId="0" borderId="14" xfId="58" applyFont="1" applyBorder="1" applyAlignment="1">
      <alignment horizontal="center" wrapText="1"/>
      <protection/>
    </xf>
    <xf numFmtId="0" fontId="50" fillId="0" borderId="29" xfId="58" applyFont="1" applyBorder="1" applyAlignment="1">
      <alignment horizontal="center" vertical="top" wrapText="1"/>
      <protection/>
    </xf>
    <xf numFmtId="0" fontId="50" fillId="0" borderId="28" xfId="58" applyFont="1" applyBorder="1" applyAlignment="1">
      <alignment horizontal="center" vertical="top" wrapText="1"/>
      <protection/>
    </xf>
    <xf numFmtId="0" fontId="50" fillId="0" borderId="30" xfId="58" applyFont="1" applyBorder="1" applyAlignment="1">
      <alignment horizontal="center" vertical="top" wrapText="1"/>
      <protection/>
    </xf>
    <xf numFmtId="0" fontId="50" fillId="0" borderId="27" xfId="58" applyFont="1" applyBorder="1" applyAlignment="1">
      <alignment horizontal="center" vertical="top" wrapText="1"/>
      <protection/>
    </xf>
    <xf numFmtId="0" fontId="50" fillId="0" borderId="10" xfId="58" applyFont="1" applyBorder="1" applyAlignment="1">
      <alignment vertical="top" wrapText="1"/>
      <protection/>
    </xf>
    <xf numFmtId="0" fontId="50" fillId="0" borderId="10" xfId="58" applyFont="1" applyBorder="1" applyAlignment="1">
      <alignment horizontal="left" vertical="center" wrapText="1" shrinkToFit="1"/>
      <protection/>
    </xf>
    <xf numFmtId="0" fontId="50" fillId="0" borderId="32" xfId="58" applyFont="1" applyBorder="1" applyAlignment="1">
      <alignment horizontal="center" vertical="center" wrapText="1"/>
      <protection/>
    </xf>
    <xf numFmtId="0" fontId="50" fillId="0" borderId="16" xfId="58" applyFont="1" applyBorder="1" applyAlignment="1">
      <alignment horizontal="center" vertical="center" wrapText="1"/>
      <protection/>
    </xf>
    <xf numFmtId="0" fontId="50" fillId="0" borderId="31" xfId="58" applyFont="1" applyBorder="1" applyAlignment="1">
      <alignment horizontal="center" vertical="center" wrapText="1"/>
      <protection/>
    </xf>
    <xf numFmtId="2" fontId="51" fillId="0" borderId="10" xfId="58" applyNumberFormat="1" applyFont="1" applyFill="1" applyBorder="1" applyAlignment="1">
      <alignment horizontal="center" vertical="center" wrapText="1"/>
      <protection/>
    </xf>
    <xf numFmtId="2" fontId="51" fillId="0" borderId="14" xfId="58" applyNumberFormat="1" applyFont="1" applyFill="1" applyBorder="1" applyAlignment="1">
      <alignment horizontal="center" vertical="center" wrapText="1"/>
      <protection/>
    </xf>
    <xf numFmtId="0" fontId="51" fillId="0" borderId="14" xfId="58" applyFont="1" applyFill="1" applyBorder="1" applyAlignment="1">
      <alignment horizontal="left" vertical="center" wrapText="1"/>
      <protection/>
    </xf>
    <xf numFmtId="0" fontId="51" fillId="0" borderId="11" xfId="58" applyFont="1" applyFill="1" applyBorder="1" applyAlignment="1">
      <alignment horizontal="left" vertical="center" wrapText="1"/>
      <protection/>
    </xf>
    <xf numFmtId="0" fontId="51" fillId="0" borderId="27" xfId="58" applyFont="1" applyFill="1" applyBorder="1" applyAlignment="1">
      <alignment horizontal="left" vertical="center" wrapText="1"/>
      <protection/>
    </xf>
    <xf numFmtId="2" fontId="50" fillId="0" borderId="14" xfId="58" applyNumberFormat="1" applyFont="1" applyFill="1" applyBorder="1" applyAlignment="1">
      <alignment horizontal="center" vertical="center" wrapText="1"/>
      <protection/>
    </xf>
    <xf numFmtId="0" fontId="50" fillId="0" borderId="26" xfId="58" applyFont="1" applyFill="1" applyBorder="1" applyAlignment="1">
      <alignment horizontal="center" vertical="center" wrapText="1"/>
      <protection/>
    </xf>
    <xf numFmtId="0" fontId="50" fillId="0" borderId="0" xfId="58" applyFont="1" applyFill="1" applyBorder="1" applyAlignment="1">
      <alignment horizontal="center" vertical="center" wrapText="1"/>
      <protection/>
    </xf>
    <xf numFmtId="0" fontId="50" fillId="0" borderId="27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left" vertical="center" wrapText="1"/>
      <protection/>
    </xf>
    <xf numFmtId="0" fontId="50" fillId="0" borderId="25" xfId="58" applyFont="1" applyBorder="1" applyAlignment="1">
      <alignment horizontal="center" vertical="center" wrapText="1"/>
      <protection/>
    </xf>
    <xf numFmtId="2" fontId="50" fillId="0" borderId="29" xfId="58" applyNumberFormat="1" applyFont="1" applyFill="1" applyBorder="1" applyAlignment="1">
      <alignment horizontal="center" vertical="center" wrapText="1"/>
      <protection/>
    </xf>
    <xf numFmtId="0" fontId="50" fillId="0" borderId="14" xfId="58" applyFont="1" applyFill="1" applyBorder="1" applyAlignment="1">
      <alignment horizontal="center" vertical="center" wrapText="1"/>
      <protection/>
    </xf>
    <xf numFmtId="0" fontId="50" fillId="0" borderId="11" xfId="58" applyFont="1" applyFill="1" applyBorder="1" applyAlignment="1">
      <alignment horizontal="center" vertical="center" wrapText="1"/>
      <protection/>
    </xf>
    <xf numFmtId="0" fontId="50" fillId="0" borderId="30" xfId="58" applyFont="1" applyFill="1" applyBorder="1" applyAlignment="1">
      <alignment horizontal="center" vertical="center" wrapText="1"/>
      <protection/>
    </xf>
    <xf numFmtId="0" fontId="50" fillId="0" borderId="25" xfId="58" applyFont="1" applyFill="1" applyBorder="1" applyAlignment="1">
      <alignment horizontal="left" vertical="center" wrapText="1"/>
      <protection/>
    </xf>
    <xf numFmtId="2" fontId="51" fillId="0" borderId="10" xfId="58" applyNumberFormat="1" applyFont="1" applyBorder="1" applyAlignment="1">
      <alignment horizontal="center" vertical="center" wrapText="1"/>
      <protection/>
    </xf>
    <xf numFmtId="2" fontId="51" fillId="0" borderId="14" xfId="58" applyNumberFormat="1" applyFont="1" applyBorder="1" applyAlignment="1">
      <alignment horizontal="center" vertical="center" wrapText="1"/>
      <protection/>
    </xf>
    <xf numFmtId="0" fontId="51" fillId="0" borderId="14" xfId="58" applyFont="1" applyBorder="1" applyAlignment="1">
      <alignment horizontal="left" vertical="center" wrapText="1"/>
      <protection/>
    </xf>
    <xf numFmtId="0" fontId="51" fillId="0" borderId="27" xfId="58" applyFont="1" applyBorder="1" applyAlignment="1">
      <alignment horizontal="left" vertical="center" wrapText="1"/>
      <protection/>
    </xf>
    <xf numFmtId="0" fontId="50" fillId="0" borderId="25" xfId="58" applyFont="1" applyBorder="1" applyAlignment="1">
      <alignment horizontal="center" wrapText="1"/>
      <protection/>
    </xf>
    <xf numFmtId="0" fontId="50" fillId="0" borderId="29" xfId="58" applyFont="1" applyBorder="1" applyAlignment="1">
      <alignment horizontal="center" wrapText="1"/>
      <protection/>
    </xf>
    <xf numFmtId="2" fontId="50" fillId="0" borderId="25" xfId="58" applyNumberFormat="1" applyFont="1" applyBorder="1" applyAlignment="1">
      <alignment horizontal="center" vertical="center" wrapText="1"/>
      <protection/>
    </xf>
    <xf numFmtId="0" fontId="50" fillId="0" borderId="28" xfId="58" applyFont="1" applyBorder="1" applyAlignment="1">
      <alignment horizontal="center" vertical="center" wrapText="1"/>
      <protection/>
    </xf>
    <xf numFmtId="0" fontId="50" fillId="0" borderId="25" xfId="58" applyFont="1" applyBorder="1" applyAlignment="1">
      <alignment horizontal="right" vertical="center" wrapText="1"/>
      <protection/>
    </xf>
    <xf numFmtId="0" fontId="50" fillId="0" borderId="30" xfId="58" applyFont="1" applyBorder="1" applyAlignment="1">
      <alignment horizontal="center" wrapText="1"/>
      <protection/>
    </xf>
    <xf numFmtId="0" fontId="50" fillId="0" borderId="32" xfId="58" applyFont="1" applyBorder="1" applyAlignment="1">
      <alignment horizontal="center" wrapText="1"/>
      <protection/>
    </xf>
    <xf numFmtId="2" fontId="50" fillId="0" borderId="15" xfId="58" applyNumberFormat="1" applyFont="1" applyBorder="1" applyAlignment="1">
      <alignment horizontal="center" vertical="center" wrapText="1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0" fillId="0" borderId="15" xfId="58" applyFont="1" applyBorder="1" applyAlignment="1">
      <alignment horizontal="left" vertical="center" wrapText="1"/>
      <protection/>
    </xf>
    <xf numFmtId="0" fontId="50" fillId="0" borderId="31" xfId="58" applyFont="1" applyBorder="1" applyAlignment="1">
      <alignment horizontal="center" wrapText="1"/>
      <protection/>
    </xf>
    <xf numFmtId="0" fontId="50" fillId="0" borderId="15" xfId="58" applyFont="1" applyBorder="1" applyAlignment="1">
      <alignment horizontal="center" wrapText="1"/>
      <protection/>
    </xf>
    <xf numFmtId="2" fontId="50" fillId="0" borderId="32" xfId="58" applyNumberFormat="1" applyFont="1" applyBorder="1" applyAlignment="1">
      <alignment horizontal="center" vertical="center" wrapText="1"/>
      <protection/>
    </xf>
    <xf numFmtId="0" fontId="50" fillId="0" borderId="26" xfId="58" applyFont="1" applyBorder="1" applyAlignment="1">
      <alignment horizontal="center" wrapText="1"/>
      <protection/>
    </xf>
    <xf numFmtId="0" fontId="50" fillId="0" borderId="0" xfId="58" applyFont="1" applyBorder="1" applyAlignment="1">
      <alignment horizontal="center" wrapText="1"/>
      <protection/>
    </xf>
    <xf numFmtId="0" fontId="50" fillId="0" borderId="13" xfId="58" applyFont="1" applyBorder="1" applyAlignment="1">
      <alignment horizontal="center" wrapText="1"/>
      <protection/>
    </xf>
    <xf numFmtId="0" fontId="50" fillId="0" borderId="25" xfId="58" applyFont="1" applyBorder="1" applyAlignment="1">
      <alignment wrapText="1"/>
      <protection/>
    </xf>
    <xf numFmtId="0" fontId="50" fillId="0" borderId="28" xfId="58" applyFont="1" applyBorder="1" applyAlignment="1">
      <alignment horizontal="center" wrapText="1"/>
      <protection/>
    </xf>
    <xf numFmtId="0" fontId="50" fillId="0" borderId="28" xfId="58" applyFont="1" applyBorder="1" applyAlignment="1">
      <alignment wrapText="1"/>
      <protection/>
    </xf>
    <xf numFmtId="0" fontId="50" fillId="0" borderId="16" xfId="58" applyFont="1" applyBorder="1" applyAlignment="1">
      <alignment horizontal="center" wrapText="1"/>
      <protection/>
    </xf>
    <xf numFmtId="0" fontId="50" fillId="0" borderId="16" xfId="58" applyFont="1" applyBorder="1" applyAlignment="1">
      <alignment wrapText="1"/>
      <protection/>
    </xf>
    <xf numFmtId="0" fontId="50" fillId="0" borderId="15" xfId="58" applyFont="1" applyBorder="1" applyAlignment="1">
      <alignment wrapText="1"/>
      <protection/>
    </xf>
    <xf numFmtId="0" fontId="50" fillId="0" borderId="29" xfId="58" applyFont="1" applyBorder="1" applyAlignment="1">
      <alignment wrapText="1"/>
      <protection/>
    </xf>
    <xf numFmtId="0" fontId="50" fillId="0" borderId="0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right" vertical="center" wrapText="1" indent="1"/>
      <protection/>
    </xf>
    <xf numFmtId="0" fontId="50" fillId="0" borderId="26" xfId="58" applyFont="1" applyBorder="1" applyAlignment="1">
      <alignment wrapText="1"/>
      <protection/>
    </xf>
    <xf numFmtId="0" fontId="3" fillId="0" borderId="12" xfId="58" applyFont="1" applyFill="1" applyBorder="1" applyAlignment="1">
      <alignment horizontal="right" vertical="center" wrapText="1" indent="1"/>
      <protection/>
    </xf>
    <xf numFmtId="0" fontId="3" fillId="0" borderId="12" xfId="58" applyFont="1" applyFill="1" applyBorder="1" applyAlignment="1">
      <alignment horizontal="left" vertical="center" wrapText="1" indent="1"/>
      <protection/>
    </xf>
    <xf numFmtId="0" fontId="3" fillId="0" borderId="10" xfId="58" applyFont="1" applyBorder="1" applyAlignment="1">
      <alignment horizontal="left" vertical="center" wrapText="1" indent="1"/>
      <protection/>
    </xf>
    <xf numFmtId="0" fontId="50" fillId="0" borderId="32" xfId="58" applyFont="1" applyBorder="1" applyAlignment="1">
      <alignment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0" xfId="58" applyFont="1" applyBorder="1" applyAlignment="1">
      <alignment horizontal="center" vertical="center" wrapText="1"/>
      <protection/>
    </xf>
    <xf numFmtId="0" fontId="50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2" fontId="3" fillId="0" borderId="0" xfId="57" applyNumberFormat="1" applyFont="1">
      <alignment/>
      <protection/>
    </xf>
    <xf numFmtId="0" fontId="3" fillId="0" borderId="30" xfId="57" applyFont="1" applyBorder="1">
      <alignment/>
      <protection/>
    </xf>
    <xf numFmtId="0" fontId="3" fillId="0" borderId="14" xfId="57" applyFont="1" applyBorder="1" applyAlignment="1">
      <alignment wrapText="1"/>
      <protection/>
    </xf>
    <xf numFmtId="0" fontId="3" fillId="0" borderId="27" xfId="57" applyFont="1" applyBorder="1">
      <alignment/>
      <protection/>
    </xf>
    <xf numFmtId="0" fontId="3" fillId="0" borderId="0" xfId="57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26" xfId="57" applyFont="1" applyBorder="1" applyAlignment="1">
      <alignment horizontal="left" vertical="top" wrapText="1"/>
      <protection/>
    </xf>
    <xf numFmtId="0" fontId="3" fillId="0" borderId="13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horizontal="center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27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26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wrapText="1"/>
      <protection/>
    </xf>
    <xf numFmtId="2" fontId="3" fillId="0" borderId="16" xfId="57" applyNumberFormat="1" applyFont="1" applyBorder="1" applyAlignment="1">
      <alignment wrapText="1"/>
      <protection/>
    </xf>
    <xf numFmtId="183" fontId="3" fillId="0" borderId="31" xfId="57" applyNumberFormat="1" applyFont="1" applyBorder="1" applyAlignment="1">
      <alignment horizontal="right" wrapText="1"/>
      <protection/>
    </xf>
    <xf numFmtId="9" fontId="3" fillId="0" borderId="26" xfId="57" applyNumberFormat="1" applyFont="1" applyBorder="1" applyAlignment="1">
      <alignment horizontal="center" vertical="top" wrapText="1"/>
      <protection/>
    </xf>
    <xf numFmtId="2" fontId="3" fillId="0" borderId="10" xfId="57" applyNumberFormat="1" applyFont="1" applyBorder="1" applyAlignment="1">
      <alignment horizontal="center" vertical="top" wrapText="1"/>
      <protection/>
    </xf>
    <xf numFmtId="0" fontId="3" fillId="0" borderId="27" xfId="57" applyFont="1" applyBorder="1" applyAlignment="1">
      <alignment horizontal="center" vertical="top" wrapText="1"/>
      <protection/>
    </xf>
    <xf numFmtId="10" fontId="3" fillId="0" borderId="14" xfId="57" applyNumberFormat="1" applyFont="1" applyBorder="1" applyAlignment="1">
      <alignment horizontal="center" vertical="top" wrapText="1"/>
      <protection/>
    </xf>
    <xf numFmtId="0" fontId="3" fillId="0" borderId="27" xfId="57" applyFont="1" applyBorder="1" applyAlignment="1">
      <alignment vertical="top" wrapText="1"/>
      <protection/>
    </xf>
    <xf numFmtId="0" fontId="3" fillId="0" borderId="10" xfId="57" applyFont="1" applyBorder="1" applyAlignment="1">
      <alignment horizontal="left" vertical="top" wrapText="1"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2" fontId="3" fillId="0" borderId="31" xfId="57" applyNumberFormat="1" applyFont="1" applyBorder="1" applyAlignment="1">
      <alignment horizontal="center" vertical="top" wrapText="1"/>
      <protection/>
    </xf>
    <xf numFmtId="0" fontId="3" fillId="0" borderId="32" xfId="57" applyFont="1" applyBorder="1" applyAlignment="1">
      <alignment horizontal="center" vertical="top" wrapText="1"/>
      <protection/>
    </xf>
    <xf numFmtId="0" fontId="3" fillId="0" borderId="31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right" vertical="top" wrapText="1"/>
      <protection/>
    </xf>
    <xf numFmtId="0" fontId="3" fillId="0" borderId="13" xfId="57" applyFont="1" applyBorder="1" applyAlignment="1">
      <alignment horizontal="right" vertical="top" wrapText="1"/>
      <protection/>
    </xf>
    <xf numFmtId="0" fontId="3" fillId="0" borderId="26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left" vertical="top" wrapText="1"/>
      <protection/>
    </xf>
    <xf numFmtId="2" fontId="3" fillId="0" borderId="25" xfId="57" applyNumberFormat="1" applyFont="1" applyBorder="1" applyAlignment="1">
      <alignment horizontal="center" wrapText="1"/>
      <protection/>
    </xf>
    <xf numFmtId="0" fontId="3" fillId="0" borderId="28" xfId="57" applyFont="1" applyBorder="1" applyAlignment="1">
      <alignment horizontal="right" vertical="top" wrapText="1"/>
      <protection/>
    </xf>
    <xf numFmtId="0" fontId="3" fillId="0" borderId="30" xfId="57" applyFont="1" applyBorder="1" applyAlignment="1">
      <alignment horizontal="right" vertical="top" wrapText="1"/>
      <protection/>
    </xf>
    <xf numFmtId="0" fontId="3" fillId="0" borderId="29" xfId="57" applyFont="1" applyBorder="1" applyAlignment="1">
      <alignment horizontal="right" vertical="top" wrapText="1"/>
      <protection/>
    </xf>
    <xf numFmtId="0" fontId="3" fillId="0" borderId="25" xfId="57" applyFont="1" applyBorder="1" applyAlignment="1">
      <alignment horizontal="center" vertical="top" wrapText="1"/>
      <protection/>
    </xf>
    <xf numFmtId="0" fontId="3" fillId="0" borderId="25" xfId="57" applyFont="1" applyBorder="1" applyAlignment="1">
      <alignment horizontal="right" vertical="top" wrapText="1"/>
      <protection/>
    </xf>
    <xf numFmtId="0" fontId="3" fillId="0" borderId="30" xfId="57" applyFont="1" applyBorder="1" applyAlignment="1">
      <alignment horizontal="center" vertical="top" wrapText="1"/>
      <protection/>
    </xf>
    <xf numFmtId="0" fontId="3" fillId="0" borderId="27" xfId="57" applyFont="1" applyBorder="1" applyAlignment="1">
      <alignment horizontal="right" vertical="top" wrapText="1"/>
      <protection/>
    </xf>
    <xf numFmtId="0" fontId="3" fillId="0" borderId="14" xfId="57" applyFont="1" applyBorder="1" applyAlignment="1">
      <alignment horizontal="righ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0" fontId="3" fillId="0" borderId="32" xfId="57" applyFont="1" applyBorder="1" applyAlignment="1">
      <alignment horizontal="left" vertical="top" wrapText="1"/>
      <protection/>
    </xf>
    <xf numFmtId="0" fontId="3" fillId="0" borderId="28" xfId="57" applyFont="1" applyBorder="1" applyAlignment="1">
      <alignment horizontal="center" wrapText="1"/>
      <protection/>
    </xf>
    <xf numFmtId="0" fontId="3" fillId="0" borderId="30" xfId="57" applyFont="1" applyBorder="1" applyAlignment="1">
      <alignment horizontal="center" wrapText="1"/>
      <protection/>
    </xf>
    <xf numFmtId="0" fontId="3" fillId="0" borderId="29" xfId="57" applyFont="1" applyBorder="1" applyAlignment="1">
      <alignment horizontal="center" vertical="top" wrapText="1"/>
      <protection/>
    </xf>
    <xf numFmtId="0" fontId="3" fillId="0" borderId="30" xfId="57" applyFont="1" applyBorder="1" applyAlignment="1">
      <alignment horizontal="left" vertical="top" wrapText="1"/>
      <protection/>
    </xf>
    <xf numFmtId="0" fontId="3" fillId="0" borderId="25" xfId="57" applyFont="1" applyBorder="1" applyAlignment="1">
      <alignment horizontal="left" vertical="top" wrapText="1"/>
      <protection/>
    </xf>
    <xf numFmtId="0" fontId="3" fillId="0" borderId="28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wrapText="1"/>
      <protection/>
    </xf>
    <xf numFmtId="185" fontId="3" fillId="0" borderId="0" xfId="57" applyNumberFormat="1" applyFont="1" applyBorder="1" applyAlignment="1">
      <alignment horizontal="center" vertical="top" wrapText="1"/>
      <protection/>
    </xf>
    <xf numFmtId="2" fontId="3" fillId="0" borderId="26" xfId="57" applyNumberFormat="1" applyFont="1" applyBorder="1">
      <alignment/>
      <protection/>
    </xf>
    <xf numFmtId="0" fontId="4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1" fontId="5" fillId="0" borderId="10" xfId="57" applyNumberFormat="1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49" fontId="4" fillId="0" borderId="28" xfId="57" applyNumberFormat="1" applyFont="1" applyBorder="1" applyAlignment="1">
      <alignment vertical="center" wrapText="1"/>
      <protection/>
    </xf>
    <xf numFmtId="0" fontId="3" fillId="0" borderId="0" xfId="0" applyFont="1" applyAlignment="1">
      <alignment horizontal="right"/>
    </xf>
    <xf numFmtId="21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/>
    </xf>
    <xf numFmtId="179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0" applyNumberFormat="1" applyFont="1" applyAlignment="1">
      <alignment/>
    </xf>
    <xf numFmtId="179" fontId="3" fillId="0" borderId="0" xfId="75" applyNumberFormat="1" applyFont="1" applyAlignment="1">
      <alignment horizontal="right"/>
    </xf>
    <xf numFmtId="4" fontId="52" fillId="0" borderId="0" xfId="0" applyNumberFormat="1" applyFont="1" applyAlignment="1">
      <alignment vertical="center"/>
    </xf>
    <xf numFmtId="181" fontId="3" fillId="0" borderId="0" xfId="75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0" xfId="54" applyFont="1">
      <alignment/>
      <protection/>
    </xf>
    <xf numFmtId="4" fontId="3" fillId="0" borderId="0" xfId="54" applyNumberFormat="1" applyFont="1">
      <alignment/>
      <protection/>
    </xf>
    <xf numFmtId="0" fontId="3" fillId="0" borderId="0" xfId="57" applyFont="1">
      <alignment/>
      <protection/>
    </xf>
    <xf numFmtId="49" fontId="3" fillId="0" borderId="0" xfId="57" applyNumberFormat="1" applyFont="1" applyAlignment="1">
      <alignment wrapText="1"/>
      <protection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57" applyFont="1" applyAlignment="1">
      <alignment wrapText="1"/>
      <protection/>
    </xf>
    <xf numFmtId="0" fontId="0" fillId="0" borderId="0" xfId="0" applyFont="1" applyAlignment="1">
      <alignment wrapText="1"/>
    </xf>
    <xf numFmtId="0" fontId="4" fillId="0" borderId="10" xfId="54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1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57" applyFont="1" applyBorder="1" applyAlignment="1">
      <alignment horizontal="center" vertical="center"/>
      <protection/>
    </xf>
    <xf numFmtId="49" fontId="3" fillId="0" borderId="27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49" fontId="3" fillId="0" borderId="27" xfId="57" applyNumberFormat="1" applyFont="1" applyBorder="1" applyAlignment="1">
      <alignment horizontal="center" wrapText="1"/>
      <protection/>
    </xf>
    <xf numFmtId="49" fontId="3" fillId="0" borderId="14" xfId="57" applyNumberFormat="1" applyFont="1" applyBorder="1" applyAlignment="1">
      <alignment horizontal="center" wrapText="1"/>
      <protection/>
    </xf>
    <xf numFmtId="49" fontId="3" fillId="0" borderId="11" xfId="57" applyNumberFormat="1" applyFont="1" applyBorder="1" applyAlignment="1">
      <alignment horizontal="center" wrapText="1"/>
      <protection/>
    </xf>
    <xf numFmtId="0" fontId="3" fillId="0" borderId="27" xfId="57" applyNumberFormat="1" applyFont="1" applyBorder="1" applyAlignment="1">
      <alignment horizontal="left" vertical="top" wrapText="1"/>
      <protection/>
    </xf>
    <xf numFmtId="0" fontId="3" fillId="0" borderId="14" xfId="57" applyNumberFormat="1" applyFont="1" applyBorder="1" applyAlignment="1">
      <alignment horizontal="left" vertical="top" wrapText="1"/>
      <protection/>
    </xf>
    <xf numFmtId="2" fontId="3" fillId="0" borderId="0" xfId="57" applyNumberFormat="1" applyFont="1" applyBorder="1" applyAlignment="1">
      <alignment horizontal="center" wrapText="1"/>
      <protection/>
    </xf>
    <xf numFmtId="215" fontId="3" fillId="0" borderId="0" xfId="0" applyNumberFormat="1" applyFont="1" applyAlignment="1">
      <alignment horizontal="center"/>
    </xf>
    <xf numFmtId="0" fontId="3" fillId="0" borderId="30" xfId="57" applyNumberFormat="1" applyFont="1" applyBorder="1" applyAlignment="1">
      <alignment horizontal="center" vertical="top" wrapText="1"/>
      <protection/>
    </xf>
    <xf numFmtId="0" fontId="3" fillId="0" borderId="28" xfId="57" applyNumberFormat="1" applyFont="1" applyBorder="1" applyAlignment="1">
      <alignment horizontal="center" vertical="top" wrapText="1"/>
      <protection/>
    </xf>
    <xf numFmtId="0" fontId="3" fillId="0" borderId="29" xfId="57" applyNumberFormat="1" applyFont="1" applyBorder="1" applyAlignment="1">
      <alignment horizontal="center" vertical="top" wrapText="1"/>
      <protection/>
    </xf>
    <xf numFmtId="0" fontId="50" fillId="0" borderId="0" xfId="66" applyFont="1" applyAlignment="1">
      <alignment wrapText="1"/>
      <protection/>
    </xf>
    <xf numFmtId="0" fontId="0" fillId="0" borderId="0" xfId="0" applyAlignment="1">
      <alignment wrapText="1"/>
    </xf>
    <xf numFmtId="0" fontId="3" fillId="0" borderId="13" xfId="57" applyNumberFormat="1" applyFont="1" applyBorder="1" applyAlignment="1">
      <alignment horizontal="center" vertical="top" wrapText="1"/>
      <protection/>
    </xf>
    <xf numFmtId="0" fontId="3" fillId="0" borderId="0" xfId="57" applyNumberFormat="1" applyFont="1" applyBorder="1" applyAlignment="1">
      <alignment horizontal="center" vertical="top" wrapText="1"/>
      <protection/>
    </xf>
    <xf numFmtId="0" fontId="3" fillId="0" borderId="26" xfId="57" applyNumberFormat="1" applyFont="1" applyBorder="1" applyAlignment="1">
      <alignment horizontal="center" vertical="top" wrapText="1"/>
      <protection/>
    </xf>
    <xf numFmtId="0" fontId="3" fillId="0" borderId="27" xfId="58" applyNumberFormat="1" applyFont="1" applyBorder="1" applyAlignment="1">
      <alignment horizontal="center" vertical="top" wrapText="1"/>
      <protection/>
    </xf>
    <xf numFmtId="0" fontId="3" fillId="0" borderId="14" xfId="58" applyNumberFormat="1" applyFont="1" applyBorder="1" applyAlignment="1">
      <alignment horizontal="center" vertical="top" wrapText="1"/>
      <protection/>
    </xf>
    <xf numFmtId="2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27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31" xfId="57" applyNumberFormat="1" applyFont="1" applyBorder="1" applyAlignment="1">
      <alignment horizontal="left" wrapText="1"/>
      <protection/>
    </xf>
    <xf numFmtId="49" fontId="3" fillId="0" borderId="32" xfId="57" applyNumberFormat="1" applyFont="1" applyBorder="1" applyAlignment="1">
      <alignment horizontal="left" wrapText="1"/>
      <protection/>
    </xf>
    <xf numFmtId="4" fontId="3" fillId="0" borderId="31" xfId="57" applyNumberFormat="1" applyFont="1" applyBorder="1" applyAlignment="1">
      <alignment horizontal="center" wrapText="1"/>
      <protection/>
    </xf>
    <xf numFmtId="4" fontId="3" fillId="0" borderId="16" xfId="57" applyNumberFormat="1" applyFont="1" applyBorder="1" applyAlignment="1">
      <alignment horizontal="center" wrapText="1"/>
      <protection/>
    </xf>
    <xf numFmtId="49" fontId="3" fillId="0" borderId="0" xfId="57" applyNumberFormat="1" applyFont="1" applyFill="1" applyBorder="1" applyAlignment="1">
      <alignment horizontal="left" vertical="top" wrapText="1"/>
      <protection/>
    </xf>
    <xf numFmtId="0" fontId="6" fillId="0" borderId="0" xfId="67" applyFont="1" applyAlignment="1" applyProtection="1">
      <alignment horizontal="left" wrapText="1"/>
      <protection locked="0"/>
    </xf>
    <xf numFmtId="0" fontId="6" fillId="0" borderId="0" xfId="67" applyFont="1" applyAlignment="1" applyProtection="1">
      <alignment horizontal="left" vertical="top" wrapText="1"/>
      <protection locked="0"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 wrapText="1"/>
      <protection/>
    </xf>
    <xf numFmtId="49" fontId="4" fillId="0" borderId="28" xfId="57" applyNumberFormat="1" applyFont="1" applyFill="1" applyBorder="1" applyAlignment="1">
      <alignment horizontal="left" vertical="top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31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30" xfId="58" applyFont="1" applyBorder="1" applyAlignment="1">
      <alignment horizontal="center" vertical="center" wrapText="1"/>
      <protection/>
    </xf>
    <xf numFmtId="0" fontId="3" fillId="0" borderId="28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25" xfId="58" applyFont="1" applyBorder="1" applyAlignment="1">
      <alignment horizontal="center" vertical="center" wrapText="1"/>
      <protection/>
    </xf>
    <xf numFmtId="0" fontId="3" fillId="0" borderId="31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4" fillId="0" borderId="27" xfId="58" applyFont="1" applyBorder="1" applyAlignment="1">
      <alignment horizontal="center" wrapText="1"/>
      <protection/>
    </xf>
    <xf numFmtId="0" fontId="4" fillId="0" borderId="11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3" fillId="0" borderId="13" xfId="58" applyFont="1" applyBorder="1" applyAlignment="1">
      <alignment vertical="top" wrapText="1"/>
      <protection/>
    </xf>
    <xf numFmtId="0" fontId="3" fillId="0" borderId="13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4" fillId="0" borderId="27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14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3" fillId="0" borderId="27" xfId="58" applyFont="1" applyBorder="1" applyAlignment="1">
      <alignment horizontal="left" vertical="top" wrapText="1"/>
      <protection/>
    </xf>
    <xf numFmtId="0" fontId="3" fillId="0" borderId="14" xfId="58" applyFont="1" applyBorder="1" applyAlignment="1">
      <alignment horizontal="left" vertical="top" wrapText="1"/>
      <protection/>
    </xf>
    <xf numFmtId="2" fontId="3" fillId="0" borderId="27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4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50" fillId="0" borderId="0" xfId="58" applyFont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left" vertical="center" wrapText="1"/>
      <protection/>
    </xf>
    <xf numFmtId="0" fontId="51" fillId="0" borderId="27" xfId="58" applyFont="1" applyBorder="1" applyAlignment="1">
      <alignment horizontal="left" vertical="center" wrapText="1"/>
      <protection/>
    </xf>
    <xf numFmtId="0" fontId="51" fillId="0" borderId="31" xfId="58" applyFont="1" applyBorder="1" applyAlignment="1">
      <alignment horizontal="center" vertical="center" wrapText="1"/>
      <protection/>
    </xf>
    <xf numFmtId="0" fontId="51" fillId="0" borderId="16" xfId="58" applyFont="1" applyBorder="1" applyAlignment="1">
      <alignment horizontal="center" vertical="center" wrapText="1"/>
      <protection/>
    </xf>
    <xf numFmtId="0" fontId="51" fillId="0" borderId="32" xfId="58" applyFont="1" applyBorder="1" applyAlignment="1">
      <alignment horizontal="center" vertical="center" wrapText="1"/>
      <protection/>
    </xf>
    <xf numFmtId="0" fontId="51" fillId="0" borderId="13" xfId="58" applyFont="1" applyBorder="1" applyAlignment="1">
      <alignment horizontal="center" vertical="center" wrapText="1"/>
      <protection/>
    </xf>
    <xf numFmtId="0" fontId="51" fillId="0" borderId="0" xfId="58" applyFont="1" applyBorder="1" applyAlignment="1">
      <alignment horizontal="center" vertical="center" wrapText="1"/>
      <protection/>
    </xf>
    <xf numFmtId="0" fontId="51" fillId="0" borderId="26" xfId="58" applyFont="1" applyBorder="1" applyAlignment="1">
      <alignment horizontal="center" vertical="center" wrapText="1"/>
      <protection/>
    </xf>
    <xf numFmtId="0" fontId="51" fillId="0" borderId="30" xfId="58" applyFont="1" applyBorder="1" applyAlignment="1">
      <alignment horizontal="center" vertical="center" wrapText="1"/>
      <protection/>
    </xf>
    <xf numFmtId="0" fontId="51" fillId="0" borderId="28" xfId="58" applyFont="1" applyBorder="1" applyAlignment="1">
      <alignment horizontal="center" vertical="center" wrapText="1"/>
      <protection/>
    </xf>
    <xf numFmtId="0" fontId="51" fillId="0" borderId="29" xfId="58" applyFont="1" applyBorder="1" applyAlignment="1">
      <alignment horizontal="center" vertical="center" wrapText="1"/>
      <protection/>
    </xf>
    <xf numFmtId="0" fontId="51" fillId="0" borderId="12" xfId="58" applyFont="1" applyBorder="1" applyAlignment="1">
      <alignment horizontal="center" vertical="center" wrapText="1"/>
      <protection/>
    </xf>
    <xf numFmtId="0" fontId="4" fillId="34" borderId="25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left" vertical="center" wrapText="1"/>
      <protection/>
    </xf>
    <xf numFmtId="0" fontId="50" fillId="0" borderId="10" xfId="58" applyFont="1" applyBorder="1" applyAlignment="1">
      <alignment wrapText="1"/>
      <protection/>
    </xf>
    <xf numFmtId="0" fontId="51" fillId="0" borderId="15" xfId="58" applyFont="1" applyBorder="1" applyAlignment="1">
      <alignment horizontal="center" vertical="center" wrapText="1"/>
      <protection/>
    </xf>
    <xf numFmtId="0" fontId="50" fillId="0" borderId="15" xfId="58" applyFont="1" applyBorder="1" applyAlignment="1">
      <alignment wrapText="1"/>
      <protection/>
    </xf>
    <xf numFmtId="2" fontId="50" fillId="0" borderId="27" xfId="58" applyNumberFormat="1" applyFont="1" applyFill="1" applyBorder="1" applyAlignment="1">
      <alignment horizontal="right" vertical="center" wrapText="1"/>
      <protection/>
    </xf>
    <xf numFmtId="2" fontId="50" fillId="0" borderId="11" xfId="58" applyNumberFormat="1" applyFont="1" applyFill="1" applyBorder="1" applyAlignment="1">
      <alignment horizontal="right" vertical="center" wrapText="1"/>
      <protection/>
    </xf>
    <xf numFmtId="2" fontId="50" fillId="0" borderId="30" xfId="58" applyNumberFormat="1" applyFont="1" applyFill="1" applyBorder="1" applyAlignment="1">
      <alignment horizontal="right" vertical="center" wrapText="1"/>
      <protection/>
    </xf>
    <xf numFmtId="2" fontId="50" fillId="0" borderId="28" xfId="58" applyNumberFormat="1" applyFont="1" applyFill="1" applyBorder="1" applyAlignment="1">
      <alignment horizontal="right" vertical="center" wrapText="1"/>
      <protection/>
    </xf>
    <xf numFmtId="0" fontId="51" fillId="0" borderId="10" xfId="58" applyFont="1" applyFill="1" applyBorder="1" applyAlignment="1">
      <alignment horizontal="left" vertical="center" wrapText="1"/>
      <protection/>
    </xf>
    <xf numFmtId="0" fontId="51" fillId="0" borderId="27" xfId="58" applyFont="1" applyFill="1" applyBorder="1" applyAlignment="1">
      <alignment horizontal="left" vertical="center" wrapText="1"/>
      <protection/>
    </xf>
    <xf numFmtId="0" fontId="50" fillId="0" borderId="16" xfId="58" applyFont="1" applyBorder="1" applyAlignment="1">
      <alignment horizontal="left" vertical="center" wrapText="1"/>
      <protection/>
    </xf>
    <xf numFmtId="0" fontId="51" fillId="0" borderId="11" xfId="58" applyFont="1" applyBorder="1" applyAlignment="1">
      <alignment horizontal="left" vertical="center" wrapText="1"/>
      <protection/>
    </xf>
    <xf numFmtId="2" fontId="50" fillId="0" borderId="30" xfId="58" applyNumberFormat="1" applyFont="1" applyFill="1" applyBorder="1" applyAlignment="1">
      <alignment horizontal="right" vertical="center"/>
      <protection/>
    </xf>
    <xf numFmtId="2" fontId="50" fillId="0" borderId="28" xfId="58" applyNumberFormat="1" applyFont="1" applyFill="1" applyBorder="1" applyAlignment="1">
      <alignment horizontal="right" vertical="center"/>
      <protection/>
    </xf>
    <xf numFmtId="0" fontId="51" fillId="0" borderId="25" xfId="58" applyFont="1" applyBorder="1" applyAlignment="1">
      <alignment horizontal="center" vertical="center" wrapText="1"/>
      <protection/>
    </xf>
    <xf numFmtId="0" fontId="50" fillId="0" borderId="27" xfId="58" applyFont="1" applyBorder="1" applyAlignment="1">
      <alignment horizontal="right" vertical="center" wrapText="1"/>
      <protection/>
    </xf>
    <xf numFmtId="0" fontId="50" fillId="0" borderId="11" xfId="58" applyFont="1" applyBorder="1" applyAlignment="1">
      <alignment horizontal="right" vertical="center" wrapText="1"/>
      <protection/>
    </xf>
    <xf numFmtId="0" fontId="50" fillId="0" borderId="14" xfId="58" applyFont="1" applyBorder="1" applyAlignment="1">
      <alignment horizontal="right" vertical="center" wrapText="1"/>
      <protection/>
    </xf>
    <xf numFmtId="0" fontId="3" fillId="0" borderId="27" xfId="57" applyFont="1" applyBorder="1" applyAlignment="1">
      <alignment wrapText="1"/>
      <protection/>
    </xf>
    <xf numFmtId="0" fontId="3" fillId="0" borderId="11" xfId="57" applyFont="1" applyBorder="1" applyAlignment="1">
      <alignment wrapText="1"/>
      <protection/>
    </xf>
    <xf numFmtId="0" fontId="4" fillId="0" borderId="28" xfId="57" applyFont="1" applyBorder="1" applyAlignment="1">
      <alignment horizontal="left" wrapText="1"/>
      <protection/>
    </xf>
    <xf numFmtId="49" fontId="3" fillId="0" borderId="0" xfId="57" applyNumberFormat="1" applyFont="1" applyAlignment="1">
      <alignment horizontal="center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27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left" vertical="center" indent="2"/>
      <protection/>
    </xf>
    <xf numFmtId="0" fontId="3" fillId="0" borderId="30" xfId="57" applyFont="1" applyBorder="1" applyAlignment="1">
      <alignment horizontal="left" vertical="center" indent="2"/>
      <protection/>
    </xf>
    <xf numFmtId="0" fontId="3" fillId="0" borderId="28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5" fillId="0" borderId="27" xfId="57" applyFont="1" applyBorder="1" applyAlignment="1">
      <alignment horizontal="left" vertical="top" wrapText="1"/>
      <protection/>
    </xf>
    <xf numFmtId="0" fontId="5" fillId="0" borderId="11" xfId="57" applyFont="1" applyBorder="1" applyAlignment="1">
      <alignment horizontal="left" vertical="top" wrapText="1"/>
      <protection/>
    </xf>
    <xf numFmtId="0" fontId="5" fillId="0" borderId="31" xfId="57" applyFont="1" applyBorder="1" applyAlignment="1">
      <alignment horizontal="left" vertical="top" wrapText="1"/>
      <protection/>
    </xf>
    <xf numFmtId="0" fontId="5" fillId="0" borderId="16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left"/>
      <protection/>
    </xf>
    <xf numFmtId="0" fontId="3" fillId="0" borderId="31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32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25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25" xfId="57" applyFont="1" applyBorder="1" applyAlignment="1">
      <alignment horizontal="left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25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26" xfId="57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25" xfId="57" applyFont="1" applyBorder="1" applyAlignment="1">
      <alignment horizontal="left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0" fontId="5" fillId="0" borderId="28" xfId="57" applyFont="1" applyBorder="1" applyAlignment="1">
      <alignment horizontal="center"/>
      <protection/>
    </xf>
    <xf numFmtId="0" fontId="4" fillId="0" borderId="10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0" xfId="57" applyFont="1" applyAlignment="1">
      <alignment horizontal="left" vertical="center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5" fillId="0" borderId="27" xfId="57" applyFont="1" applyBorder="1" applyAlignment="1">
      <alignment horizontal="center" vertical="top" wrapText="1"/>
      <protection/>
    </xf>
    <xf numFmtId="0" fontId="5" fillId="0" borderId="14" xfId="57" applyFont="1" applyBorder="1" applyAlignment="1">
      <alignment horizontal="center" vertical="top" wrapText="1"/>
      <protection/>
    </xf>
    <xf numFmtId="0" fontId="5" fillId="0" borderId="11" xfId="57" applyFont="1" applyBorder="1" applyAlignment="1">
      <alignment horizontal="center" vertical="top" wrapText="1"/>
      <protection/>
    </xf>
    <xf numFmtId="0" fontId="3" fillId="0" borderId="32" xfId="57" applyFont="1" applyBorder="1" applyAlignment="1">
      <alignment horizontal="center" wrapText="1"/>
      <protection/>
    </xf>
    <xf numFmtId="49" fontId="4" fillId="0" borderId="0" xfId="57" applyNumberFormat="1" applyFont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49" fontId="3" fillId="0" borderId="0" xfId="57" applyNumberFormat="1" applyFont="1" applyAlignment="1">
      <alignment horizontal="left" wrapText="1"/>
      <protection/>
    </xf>
    <xf numFmtId="0" fontId="4" fillId="0" borderId="0" xfId="54" applyFont="1" applyAlignment="1">
      <alignment horizontal="center"/>
      <protection/>
    </xf>
    <xf numFmtId="0" fontId="3" fillId="0" borderId="0" xfId="57" applyFont="1" applyAlignment="1">
      <alignment horizontal="left" wrapText="1"/>
      <protection/>
    </xf>
    <xf numFmtId="0" fontId="3" fillId="0" borderId="0" xfId="54" applyFont="1" applyAlignment="1">
      <alignment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5"/>
  <sheetViews>
    <sheetView view="pageBreakPreview" zoomScaleSheetLayoutView="100" zoomScalePageLayoutView="0" workbookViewId="0" topLeftCell="A4">
      <selection activeCell="A21" sqref="A21"/>
    </sheetView>
  </sheetViews>
  <sheetFormatPr defaultColWidth="14.125" defaultRowHeight="12.75"/>
  <cols>
    <col min="1" max="1" width="5.25390625" style="388" customWidth="1"/>
    <col min="2" max="2" width="32.875" style="388" customWidth="1"/>
    <col min="3" max="3" width="13.125" style="388" customWidth="1"/>
    <col min="4" max="4" width="14.125" style="388" customWidth="1"/>
    <col min="5" max="5" width="12.875" style="388" customWidth="1"/>
    <col min="6" max="6" width="27.25390625" style="388" customWidth="1"/>
    <col min="7" max="8" width="17.75390625" style="388" customWidth="1"/>
    <col min="9" max="9" width="16.875" style="388" customWidth="1"/>
    <col min="10" max="10" width="13.25390625" style="388" customWidth="1"/>
    <col min="11" max="11" width="14.25390625" style="388" customWidth="1"/>
    <col min="12" max="12" width="14.375" style="388" customWidth="1"/>
    <col min="13" max="13" width="9.125" style="388" customWidth="1"/>
    <col min="14" max="14" width="3.375" style="388" customWidth="1"/>
    <col min="15" max="16" width="9.75390625" style="388" customWidth="1"/>
    <col min="17" max="17" width="6.75390625" style="388" customWidth="1"/>
    <col min="18" max="252" width="9.125" style="388" customWidth="1"/>
    <col min="253" max="253" width="5.25390625" style="388" customWidth="1"/>
    <col min="254" max="254" width="33.875" style="388" customWidth="1"/>
    <col min="255" max="255" width="10.25390625" style="388" customWidth="1"/>
    <col min="256" max="16384" width="14.125" style="388" customWidth="1"/>
  </cols>
  <sheetData>
    <row r="1" spans="5:6" ht="17.25" customHeight="1">
      <c r="E1" s="421" t="s">
        <v>80</v>
      </c>
      <c r="F1" s="421"/>
    </row>
    <row r="2" spans="5:6" ht="13.5" customHeight="1">
      <c r="E2" s="419"/>
      <c r="F2" s="419"/>
    </row>
    <row r="3" spans="5:6" ht="15" customHeight="1">
      <c r="E3" s="419"/>
      <c r="F3" s="419"/>
    </row>
    <row r="4" spans="5:6" ht="21.75" customHeight="1">
      <c r="E4" s="420" t="s">
        <v>240</v>
      </c>
      <c r="F4" s="419"/>
    </row>
    <row r="5" spans="5:6" ht="19.5" customHeight="1">
      <c r="E5" s="419" t="s">
        <v>220</v>
      </c>
      <c r="F5" s="419"/>
    </row>
    <row r="6" spans="5:6" ht="12.75">
      <c r="E6" s="419"/>
      <c r="F6" s="419"/>
    </row>
    <row r="7" spans="5:6" ht="12.75">
      <c r="E7" s="419"/>
      <c r="F7" s="419"/>
    </row>
    <row r="8" spans="1:6" ht="12.75">
      <c r="A8" s="425" t="s">
        <v>4</v>
      </c>
      <c r="B8" s="425"/>
      <c r="C8" s="425"/>
      <c r="D8" s="425"/>
      <c r="E8" s="425"/>
      <c r="F8" s="425"/>
    </row>
    <row r="9" spans="1:6" ht="12.75">
      <c r="A9" s="389"/>
      <c r="B9" s="389"/>
      <c r="C9" s="389"/>
      <c r="D9" s="389"/>
      <c r="E9" s="389"/>
      <c r="F9" s="389"/>
    </row>
    <row r="10" spans="1:10" ht="18" customHeight="1">
      <c r="A10" s="426" t="s">
        <v>221</v>
      </c>
      <c r="B10" s="426"/>
      <c r="C10" s="426"/>
      <c r="D10" s="426"/>
      <c r="E10" s="426"/>
      <c r="F10" s="426"/>
      <c r="G10" s="390"/>
      <c r="H10" s="391"/>
      <c r="I10" s="390"/>
      <c r="J10" s="391"/>
    </row>
    <row r="11" spans="1:10" ht="13.5" customHeight="1">
      <c r="A11" s="418" t="s">
        <v>79</v>
      </c>
      <c r="B11" s="418"/>
      <c r="C11" s="418"/>
      <c r="D11" s="418"/>
      <c r="E11" s="418"/>
      <c r="F11" s="418"/>
      <c r="G11" s="390"/>
      <c r="H11" s="391"/>
      <c r="I11" s="390"/>
      <c r="J11" s="391"/>
    </row>
    <row r="12" spans="1:10" ht="13.5" customHeight="1">
      <c r="A12" s="418" t="s">
        <v>222</v>
      </c>
      <c r="B12" s="418"/>
      <c r="C12" s="418"/>
      <c r="D12" s="418"/>
      <c r="E12" s="418"/>
      <c r="F12" s="418"/>
      <c r="G12" s="390"/>
      <c r="H12" s="391"/>
      <c r="I12" s="390"/>
      <c r="J12" s="391"/>
    </row>
    <row r="13" spans="1:10" ht="13.5" customHeight="1">
      <c r="A13" s="392"/>
      <c r="B13" s="392"/>
      <c r="C13" s="392"/>
      <c r="D13" s="392"/>
      <c r="E13" s="392"/>
      <c r="F13" s="392"/>
      <c r="G13" s="390"/>
      <c r="H13" s="391"/>
      <c r="I13" s="390"/>
      <c r="J13" s="391"/>
    </row>
    <row r="14" spans="1:18" ht="12.75" customHeight="1">
      <c r="A14" s="427" t="s">
        <v>5</v>
      </c>
      <c r="B14" s="428" t="s">
        <v>6</v>
      </c>
      <c r="C14" s="427" t="s">
        <v>7</v>
      </c>
      <c r="D14" s="424" t="s">
        <v>16</v>
      </c>
      <c r="E14" s="424" t="s">
        <v>73</v>
      </c>
      <c r="F14" s="424" t="s">
        <v>74</v>
      </c>
      <c r="I14" s="393"/>
      <c r="J14" s="394"/>
      <c r="K14" s="395"/>
      <c r="L14" s="391"/>
      <c r="M14" s="396"/>
      <c r="N14" s="397"/>
      <c r="O14" s="398"/>
      <c r="P14" s="399"/>
      <c r="Q14" s="400"/>
      <c r="R14" s="399"/>
    </row>
    <row r="15" spans="1:18" ht="38.25" customHeight="1">
      <c r="A15" s="427"/>
      <c r="B15" s="428"/>
      <c r="C15" s="427"/>
      <c r="D15" s="424"/>
      <c r="E15" s="424"/>
      <c r="F15" s="424"/>
      <c r="I15" s="393"/>
      <c r="J15" s="394"/>
      <c r="K15" s="395"/>
      <c r="L15" s="391"/>
      <c r="M15" s="396"/>
      <c r="N15" s="397"/>
      <c r="O15" s="398"/>
      <c r="P15" s="401"/>
      <c r="Q15" s="400"/>
      <c r="R15" s="399"/>
    </row>
    <row r="16" spans="1:18" ht="30" customHeight="1">
      <c r="A16" s="402">
        <v>1</v>
      </c>
      <c r="B16" s="403" t="s">
        <v>17</v>
      </c>
      <c r="C16" s="404" t="s">
        <v>8</v>
      </c>
      <c r="D16" s="405">
        <f>'См№1 ПР'!V26</f>
        <v>453596.4</v>
      </c>
      <c r="E16" s="405">
        <f>'См№1 ПР'!V27</f>
        <v>81647.35</v>
      </c>
      <c r="F16" s="406">
        <f>'См№1 ПР'!V28</f>
        <v>535243.75</v>
      </c>
      <c r="H16" s="407"/>
      <c r="I16" s="408"/>
      <c r="J16" s="394"/>
      <c r="K16" s="395"/>
      <c r="L16" s="391"/>
      <c r="M16" s="396"/>
      <c r="N16" s="397"/>
      <c r="O16" s="398"/>
      <c r="P16" s="401"/>
      <c r="Q16" s="400"/>
      <c r="R16" s="399"/>
    </row>
    <row r="17" spans="1:18" ht="18.75" customHeight="1">
      <c r="A17" s="402">
        <v>2</v>
      </c>
      <c r="B17" s="403" t="s">
        <v>215</v>
      </c>
      <c r="C17" s="404" t="s">
        <v>78</v>
      </c>
      <c r="D17" s="405">
        <f>'См№ Геодез'!N38</f>
        <v>8903.57</v>
      </c>
      <c r="E17" s="405">
        <f>'См№ Геодез'!N39</f>
        <v>1602.64</v>
      </c>
      <c r="F17" s="406">
        <f>'См№ Геодез'!N40</f>
        <v>10506.21</v>
      </c>
      <c r="G17" s="409"/>
      <c r="H17" s="407"/>
      <c r="I17" s="410"/>
      <c r="J17" s="397"/>
      <c r="K17" s="411"/>
      <c r="L17" s="396"/>
      <c r="M17" s="412"/>
      <c r="N17" s="397"/>
      <c r="O17" s="398"/>
      <c r="P17" s="401"/>
      <c r="Q17" s="400"/>
      <c r="R17" s="399"/>
    </row>
    <row r="18" spans="1:18" ht="18.75" customHeight="1">
      <c r="A18" s="402">
        <v>3</v>
      </c>
      <c r="B18" s="403" t="s">
        <v>162</v>
      </c>
      <c r="C18" s="404" t="s">
        <v>216</v>
      </c>
      <c r="D18" s="405">
        <f>'См№ Геолог'!N53</f>
        <v>162176.25</v>
      </c>
      <c r="E18" s="405">
        <f>'См№ Геолог'!N54</f>
        <v>29191.73</v>
      </c>
      <c r="F18" s="406">
        <f>'См№ Геолог'!N55</f>
        <v>191367.98</v>
      </c>
      <c r="G18" s="409"/>
      <c r="H18" s="407"/>
      <c r="I18" s="410"/>
      <c r="J18" s="397"/>
      <c r="K18" s="411"/>
      <c r="L18" s="396"/>
      <c r="M18" s="412"/>
      <c r="N18" s="397"/>
      <c r="O18" s="398"/>
      <c r="P18" s="401"/>
      <c r="Q18" s="400"/>
      <c r="R18" s="399"/>
    </row>
    <row r="19" spans="1:18" ht="18.75" customHeight="1">
      <c r="A19" s="402">
        <v>4</v>
      </c>
      <c r="B19" s="403" t="s">
        <v>217</v>
      </c>
      <c r="C19" s="404" t="s">
        <v>213</v>
      </c>
      <c r="D19" s="405">
        <f>'Смета № 4 Экология'!M62</f>
        <v>39708.91</v>
      </c>
      <c r="E19" s="405">
        <f>'Смета № 4 Экология'!M63</f>
        <v>7147.6</v>
      </c>
      <c r="F19" s="406">
        <f>E19+D19</f>
        <v>46856.51</v>
      </c>
      <c r="G19" s="409"/>
      <c r="H19" s="407"/>
      <c r="I19" s="410"/>
      <c r="J19" s="397"/>
      <c r="K19" s="411"/>
      <c r="L19" s="396"/>
      <c r="M19" s="412"/>
      <c r="N19" s="397"/>
      <c r="O19" s="398"/>
      <c r="P19" s="401"/>
      <c r="Q19" s="400"/>
      <c r="R19" s="399"/>
    </row>
    <row r="20" spans="1:18" ht="15.75" customHeight="1">
      <c r="A20" s="402">
        <v>5</v>
      </c>
      <c r="B20" s="403" t="s">
        <v>75</v>
      </c>
      <c r="C20" s="404" t="s">
        <v>76</v>
      </c>
      <c r="D20" s="405">
        <f>Экспертиза!B28</f>
        <v>214369.86</v>
      </c>
      <c r="E20" s="405">
        <f>Экспертиза!B29</f>
        <v>38586.56</v>
      </c>
      <c r="F20" s="406">
        <f>Экспертиза!B30</f>
        <v>252956.42</v>
      </c>
      <c r="H20" s="397"/>
      <c r="I20" s="397"/>
      <c r="J20" s="396"/>
      <c r="K20" s="396"/>
      <c r="L20" s="396"/>
      <c r="M20" s="396"/>
      <c r="N20" s="397"/>
      <c r="O20" s="398"/>
      <c r="P20" s="401"/>
      <c r="Q20" s="400"/>
      <c r="R20" s="400"/>
    </row>
    <row r="21" spans="1:16" ht="12.75">
      <c r="A21" s="402">
        <v>6</v>
      </c>
      <c r="B21" s="403" t="s">
        <v>9</v>
      </c>
      <c r="C21" s="404"/>
      <c r="D21" s="405">
        <f>SUM(D16:D20)</f>
        <v>878754.99</v>
      </c>
      <c r="E21" s="405">
        <f>SUM(E16:E20)</f>
        <v>158175.88</v>
      </c>
      <c r="F21" s="405">
        <f>SUM(F16:F20)</f>
        <v>1036930.87</v>
      </c>
      <c r="H21" s="397"/>
      <c r="I21" s="397"/>
      <c r="J21" s="412"/>
      <c r="K21" s="396"/>
      <c r="L21" s="396"/>
      <c r="M21" s="413"/>
      <c r="N21" s="397"/>
      <c r="O21" s="398"/>
      <c r="P21" s="401"/>
    </row>
    <row r="22" spans="1:16" ht="12.75" customHeight="1">
      <c r="A22" s="414"/>
      <c r="B22" s="414"/>
      <c r="C22" s="414"/>
      <c r="D22" s="415"/>
      <c r="E22" s="414"/>
      <c r="F22" s="415"/>
      <c r="H22" s="397"/>
      <c r="I22" s="397"/>
      <c r="J22" s="396"/>
      <c r="K22" s="396"/>
      <c r="L22" s="396"/>
      <c r="M22" s="396"/>
      <c r="N22" s="397"/>
      <c r="O22" s="398"/>
      <c r="P22" s="401"/>
    </row>
    <row r="23" spans="1:16" ht="12.75">
      <c r="A23" s="414"/>
      <c r="B23" s="422" t="s">
        <v>241</v>
      </c>
      <c r="C23" s="423"/>
      <c r="D23" s="423"/>
      <c r="E23" s="423"/>
      <c r="F23" s="423"/>
      <c r="H23" s="397"/>
      <c r="I23" s="397"/>
      <c r="J23" s="396"/>
      <c r="K23" s="396"/>
      <c r="L23" s="396"/>
      <c r="M23" s="396"/>
      <c r="N23" s="397"/>
      <c r="O23" s="398"/>
      <c r="P23" s="401"/>
    </row>
    <row r="24" spans="1:16" ht="12.75">
      <c r="A24" s="414"/>
      <c r="B24" s="416"/>
      <c r="C24" s="416"/>
      <c r="D24" s="414"/>
      <c r="E24" s="417"/>
      <c r="F24" s="414"/>
      <c r="H24" s="397"/>
      <c r="I24" s="397"/>
      <c r="J24" s="396"/>
      <c r="K24" s="396"/>
      <c r="L24" s="396"/>
      <c r="M24" s="396"/>
      <c r="N24" s="397"/>
      <c r="O24" s="398"/>
      <c r="P24" s="401"/>
    </row>
    <row r="25" spans="1:16" ht="12.75">
      <c r="A25" s="414"/>
      <c r="B25" s="414"/>
      <c r="C25" s="414"/>
      <c r="D25" s="414"/>
      <c r="E25" s="415"/>
      <c r="F25" s="414"/>
      <c r="H25" s="397"/>
      <c r="I25" s="397"/>
      <c r="J25" s="396"/>
      <c r="K25" s="396"/>
      <c r="L25" s="396"/>
      <c r="M25" s="396"/>
      <c r="N25" s="397"/>
      <c r="O25" s="398"/>
      <c r="P25" s="401"/>
    </row>
    <row r="26" spans="1:16" ht="12.75">
      <c r="A26" s="414"/>
      <c r="B26" s="414"/>
      <c r="C26" s="414"/>
      <c r="D26" s="414"/>
      <c r="E26" s="415"/>
      <c r="F26" s="414"/>
      <c r="H26" s="397"/>
      <c r="I26" s="397"/>
      <c r="J26" s="396"/>
      <c r="K26" s="396"/>
      <c r="L26" s="396"/>
      <c r="M26" s="396"/>
      <c r="N26" s="397"/>
      <c r="O26" s="398"/>
      <c r="P26" s="401"/>
    </row>
    <row r="27" spans="1:16" ht="12.75">
      <c r="A27" s="414"/>
      <c r="B27" s="417"/>
      <c r="C27" s="417"/>
      <c r="D27" s="414"/>
      <c r="E27" s="417"/>
      <c r="F27" s="414"/>
      <c r="H27" s="397"/>
      <c r="I27" s="397"/>
      <c r="J27" s="396"/>
      <c r="K27" s="396"/>
      <c r="L27" s="396"/>
      <c r="M27" s="396"/>
      <c r="N27" s="397"/>
      <c r="O27" s="398"/>
      <c r="P27" s="401"/>
    </row>
    <row r="28" spans="1:15" ht="12.75">
      <c r="A28" s="414"/>
      <c r="B28" s="417"/>
      <c r="C28" s="417"/>
      <c r="D28" s="414"/>
      <c r="E28" s="417"/>
      <c r="F28" s="414"/>
      <c r="H28" s="397"/>
      <c r="I28" s="397"/>
      <c r="J28" s="396"/>
      <c r="K28" s="396"/>
      <c r="L28" s="396"/>
      <c r="M28" s="396"/>
      <c r="N28" s="397"/>
      <c r="O28" s="398"/>
    </row>
    <row r="29" spans="1:15" ht="12.75">
      <c r="A29" s="414"/>
      <c r="B29" s="417"/>
      <c r="C29" s="417"/>
      <c r="D29" s="414"/>
      <c r="E29" s="417"/>
      <c r="F29" s="414"/>
      <c r="H29" s="397"/>
      <c r="I29" s="397"/>
      <c r="J29" s="396"/>
      <c r="K29" s="396"/>
      <c r="L29" s="396"/>
      <c r="M29" s="396"/>
      <c r="N29" s="397"/>
      <c r="O29" s="398"/>
    </row>
    <row r="30" spans="1:15" ht="12.75">
      <c r="A30" s="414"/>
      <c r="B30" s="417"/>
      <c r="C30" s="417"/>
      <c r="D30" s="414"/>
      <c r="E30" s="417"/>
      <c r="F30" s="414"/>
      <c r="H30" s="397"/>
      <c r="I30" s="397"/>
      <c r="J30" s="396"/>
      <c r="K30" s="396"/>
      <c r="L30" s="396"/>
      <c r="M30" s="396"/>
      <c r="N30" s="397"/>
      <c r="O30" s="398"/>
    </row>
    <row r="31" spans="1:15" ht="12.75">
      <c r="A31" s="414"/>
      <c r="B31" s="414"/>
      <c r="C31" s="414"/>
      <c r="D31" s="414"/>
      <c r="E31" s="414"/>
      <c r="F31" s="414"/>
      <c r="H31" s="397"/>
      <c r="I31" s="397"/>
      <c r="J31" s="396"/>
      <c r="K31" s="396"/>
      <c r="L31" s="396"/>
      <c r="M31" s="396"/>
      <c r="N31" s="397"/>
      <c r="O31" s="398"/>
    </row>
    <row r="32" spans="1:15" ht="12.75">
      <c r="A32" s="414"/>
      <c r="B32" s="414"/>
      <c r="C32" s="414"/>
      <c r="D32" s="414"/>
      <c r="E32" s="414"/>
      <c r="F32" s="414"/>
      <c r="H32" s="397"/>
      <c r="I32" s="397"/>
      <c r="J32" s="396"/>
      <c r="K32" s="396"/>
      <c r="L32" s="396"/>
      <c r="M32" s="396"/>
      <c r="N32" s="397"/>
      <c r="O32" s="397"/>
    </row>
    <row r="33" spans="1:15" ht="12.75">
      <c r="A33" s="414"/>
      <c r="B33" s="414"/>
      <c r="C33" s="414"/>
      <c r="D33" s="414"/>
      <c r="E33" s="414"/>
      <c r="F33" s="414"/>
      <c r="H33" s="397"/>
      <c r="I33" s="397"/>
      <c r="J33" s="396"/>
      <c r="K33" s="396"/>
      <c r="L33" s="396"/>
      <c r="M33" s="396"/>
      <c r="N33" s="397"/>
      <c r="O33" s="397"/>
    </row>
    <row r="34" spans="10:13" ht="12.75">
      <c r="J34" s="401"/>
      <c r="K34" s="401"/>
      <c r="L34" s="401"/>
      <c r="M34" s="401"/>
    </row>
    <row r="35" spans="10:13" ht="12.75">
      <c r="J35" s="401"/>
      <c r="K35" s="401"/>
      <c r="L35" s="401"/>
      <c r="M35" s="401"/>
    </row>
    <row r="36" spans="10:13" ht="12.75">
      <c r="J36" s="401"/>
      <c r="K36" s="401"/>
      <c r="L36" s="401"/>
      <c r="M36" s="401"/>
    </row>
    <row r="37" spans="10:13" ht="12.75">
      <c r="J37" s="401"/>
      <c r="K37" s="401"/>
      <c r="L37" s="401"/>
      <c r="M37" s="401"/>
    </row>
    <row r="38" spans="10:13" ht="12.75">
      <c r="J38" s="401"/>
      <c r="K38" s="401"/>
      <c r="L38" s="401"/>
      <c r="M38" s="401"/>
    </row>
    <row r="39" spans="10:13" ht="12.75">
      <c r="J39" s="401"/>
      <c r="K39" s="401"/>
      <c r="L39" s="401"/>
      <c r="M39" s="401"/>
    </row>
    <row r="40" spans="10:13" ht="12.75">
      <c r="J40" s="401"/>
      <c r="K40" s="401"/>
      <c r="L40" s="401"/>
      <c r="M40" s="401"/>
    </row>
    <row r="41" spans="10:13" ht="12.75">
      <c r="J41" s="401"/>
      <c r="K41" s="401"/>
      <c r="L41" s="401"/>
      <c r="M41" s="401"/>
    </row>
    <row r="42" spans="10:13" ht="12.75">
      <c r="J42" s="401"/>
      <c r="K42" s="401"/>
      <c r="L42" s="401"/>
      <c r="M42" s="401"/>
    </row>
    <row r="43" spans="10:13" ht="12.75">
      <c r="J43" s="401"/>
      <c r="K43" s="401"/>
      <c r="L43" s="401"/>
      <c r="M43" s="401"/>
    </row>
    <row r="44" spans="10:13" ht="12.75">
      <c r="J44" s="401"/>
      <c r="K44" s="401"/>
      <c r="L44" s="401"/>
      <c r="M44" s="401"/>
    </row>
    <row r="45" spans="10:13" ht="12.75">
      <c r="J45" s="401"/>
      <c r="K45" s="401"/>
      <c r="L45" s="401"/>
      <c r="M45" s="401"/>
    </row>
    <row r="46" spans="10:13" ht="12.75">
      <c r="J46" s="401"/>
      <c r="K46" s="401"/>
      <c r="L46" s="401"/>
      <c r="M46" s="401"/>
    </row>
    <row r="47" spans="10:13" ht="12.75">
      <c r="J47" s="401"/>
      <c r="K47" s="401"/>
      <c r="L47" s="401"/>
      <c r="M47" s="401"/>
    </row>
    <row r="48" spans="10:13" ht="12.75">
      <c r="J48" s="401"/>
      <c r="K48" s="401"/>
      <c r="L48" s="401"/>
      <c r="M48" s="401"/>
    </row>
    <row r="49" spans="10:13" ht="12.75">
      <c r="J49" s="401"/>
      <c r="K49" s="401"/>
      <c r="L49" s="401"/>
      <c r="M49" s="401"/>
    </row>
    <row r="50" spans="10:13" ht="12.75">
      <c r="J50" s="401"/>
      <c r="K50" s="401"/>
      <c r="L50" s="401"/>
      <c r="M50" s="401"/>
    </row>
    <row r="51" spans="10:13" ht="12.75">
      <c r="J51" s="401"/>
      <c r="K51" s="401"/>
      <c r="L51" s="401"/>
      <c r="M51" s="401"/>
    </row>
    <row r="52" spans="10:13" ht="12.75">
      <c r="J52" s="401"/>
      <c r="K52" s="401"/>
      <c r="L52" s="401"/>
      <c r="M52" s="401"/>
    </row>
    <row r="53" spans="10:13" ht="12.75">
      <c r="J53" s="401"/>
      <c r="K53" s="401"/>
      <c r="L53" s="401"/>
      <c r="M53" s="401"/>
    </row>
    <row r="54" spans="10:13" ht="12.75">
      <c r="J54" s="401"/>
      <c r="K54" s="401"/>
      <c r="L54" s="401"/>
      <c r="M54" s="401"/>
    </row>
    <row r="55" spans="10:13" ht="12.75">
      <c r="J55" s="401"/>
      <c r="K55" s="401"/>
      <c r="L55" s="401"/>
      <c r="M55" s="401"/>
    </row>
    <row r="56" spans="10:13" ht="12.75">
      <c r="J56" s="401"/>
      <c r="K56" s="401"/>
      <c r="L56" s="401"/>
      <c r="M56" s="401"/>
    </row>
    <row r="57" spans="10:13" ht="12.75">
      <c r="J57" s="401"/>
      <c r="K57" s="401"/>
      <c r="L57" s="401"/>
      <c r="M57" s="401"/>
    </row>
    <row r="58" spans="10:13" ht="12.75">
      <c r="J58" s="401"/>
      <c r="K58" s="401"/>
      <c r="L58" s="401"/>
      <c r="M58" s="401"/>
    </row>
    <row r="59" spans="10:13" ht="12.75">
      <c r="J59" s="401"/>
      <c r="K59" s="401"/>
      <c r="L59" s="401"/>
      <c r="M59" s="401"/>
    </row>
    <row r="60" spans="10:13" ht="12.75">
      <c r="J60" s="401"/>
      <c r="K60" s="401"/>
      <c r="L60" s="401"/>
      <c r="M60" s="401"/>
    </row>
    <row r="61" spans="10:13" ht="12.75">
      <c r="J61" s="401"/>
      <c r="K61" s="401"/>
      <c r="L61" s="401"/>
      <c r="M61" s="401"/>
    </row>
    <row r="62" spans="10:13" ht="12.75">
      <c r="J62" s="401"/>
      <c r="K62" s="401"/>
      <c r="L62" s="401"/>
      <c r="M62" s="401"/>
    </row>
    <row r="63" spans="10:13" ht="12.75">
      <c r="J63" s="401"/>
      <c r="K63" s="401"/>
      <c r="L63" s="401"/>
      <c r="M63" s="401"/>
    </row>
    <row r="64" spans="10:13" ht="12.75">
      <c r="J64" s="401"/>
      <c r="K64" s="401"/>
      <c r="L64" s="401"/>
      <c r="M64" s="401"/>
    </row>
    <row r="65" spans="10:13" ht="12.75">
      <c r="J65" s="401"/>
      <c r="K65" s="401"/>
      <c r="L65" s="401"/>
      <c r="M65" s="401"/>
    </row>
  </sheetData>
  <sheetProtection/>
  <mergeCells count="18">
    <mergeCell ref="B23:F23"/>
    <mergeCell ref="F14:F15"/>
    <mergeCell ref="A8:F8"/>
    <mergeCell ref="A10:F10"/>
    <mergeCell ref="A14:A15"/>
    <mergeCell ref="B14:B15"/>
    <mergeCell ref="C14:C15"/>
    <mergeCell ref="D14:D15"/>
    <mergeCell ref="E14:E15"/>
    <mergeCell ref="A11:F11"/>
    <mergeCell ref="A12:F12"/>
    <mergeCell ref="E7:F7"/>
    <mergeCell ref="E4:F4"/>
    <mergeCell ref="E5:F5"/>
    <mergeCell ref="E1:F1"/>
    <mergeCell ref="E2:F2"/>
    <mergeCell ref="E3:F3"/>
    <mergeCell ref="E6:F6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4"/>
  <sheetViews>
    <sheetView view="pageBreakPreview" zoomScaleSheetLayoutView="100" zoomScalePageLayoutView="0" workbookViewId="0" topLeftCell="A1">
      <selection activeCell="L37" sqref="L37"/>
    </sheetView>
  </sheetViews>
  <sheetFormatPr defaultColWidth="9.00390625" defaultRowHeight="12.75"/>
  <cols>
    <col min="1" max="1" width="2.75390625" style="3" customWidth="1"/>
    <col min="2" max="2" width="11.00390625" style="3" customWidth="1"/>
    <col min="3" max="3" width="15.75390625" style="3" customWidth="1"/>
    <col min="4" max="4" width="7.75390625" style="3" customWidth="1"/>
    <col min="5" max="5" width="1.75390625" style="3" customWidth="1"/>
    <col min="6" max="6" width="6.375" style="3" customWidth="1"/>
    <col min="7" max="7" width="1.25" style="3" customWidth="1"/>
    <col min="8" max="8" width="5.125" style="3" customWidth="1"/>
    <col min="9" max="9" width="1.75390625" style="3" customWidth="1"/>
    <col min="10" max="10" width="8.00390625" style="3" customWidth="1"/>
    <col min="11" max="11" width="2.875" style="3" customWidth="1"/>
    <col min="12" max="12" width="6.125" style="3" customWidth="1"/>
    <col min="13" max="13" width="1.25" style="3" customWidth="1"/>
    <col min="14" max="14" width="0.2421875" style="3" customWidth="1"/>
    <col min="15" max="15" width="1.875" style="3" hidden="1" customWidth="1"/>
    <col min="16" max="16" width="1.25" style="3" hidden="1" customWidth="1"/>
    <col min="17" max="17" width="0.37109375" style="3" hidden="1" customWidth="1"/>
    <col min="18" max="20" width="1.25" style="3" hidden="1" customWidth="1"/>
    <col min="21" max="21" width="0.74609375" style="3" hidden="1" customWidth="1"/>
    <col min="22" max="22" width="10.75390625" style="4" customWidth="1"/>
    <col min="23" max="23" width="9.125" style="3" customWidth="1"/>
    <col min="24" max="24" width="16.375" style="3" customWidth="1"/>
    <col min="25" max="16384" width="9.125" style="3" customWidth="1"/>
  </cols>
  <sheetData>
    <row r="1" spans="5:22" ht="17.25" customHeight="1">
      <c r="E1" s="429" t="s">
        <v>80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5:22" ht="13.5" customHeight="1"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</row>
    <row r="3" spans="5:22" ht="15" customHeight="1"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</row>
    <row r="4" spans="5:22" ht="21.75" customHeight="1">
      <c r="E4" s="420" t="s">
        <v>239</v>
      </c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</row>
    <row r="5" spans="5:22" ht="19.5" customHeight="1">
      <c r="E5" s="420" t="s">
        <v>220</v>
      </c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</row>
    <row r="6" spans="5:22" ht="12.75">
      <c r="E6" s="420"/>
      <c r="F6" s="420"/>
      <c r="V6" s="3"/>
    </row>
    <row r="7" spans="5:22" ht="12.75">
      <c r="E7" s="18"/>
      <c r="F7" s="18"/>
      <c r="G7" s="12"/>
      <c r="H7" s="12"/>
      <c r="I7" s="12"/>
      <c r="J7" s="12"/>
      <c r="K7" s="12"/>
      <c r="L7" s="12"/>
      <c r="M7" s="12"/>
      <c r="N7" s="12"/>
      <c r="O7" s="57"/>
      <c r="P7" s="57"/>
      <c r="Q7" s="57"/>
      <c r="R7" s="57"/>
      <c r="S7" s="57"/>
      <c r="T7" s="57"/>
      <c r="U7" s="57"/>
      <c r="V7" s="58"/>
    </row>
    <row r="8" spans="1:22" ht="12.75">
      <c r="A8" s="432" t="s">
        <v>14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</row>
    <row r="9" spans="1:22" ht="12.75">
      <c r="A9" s="433" t="s">
        <v>81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</row>
    <row r="10" spans="1:22" ht="12.75">
      <c r="A10" s="59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2"/>
    </row>
    <row r="11" spans="1:22" ht="15.75" customHeight="1">
      <c r="A11" s="431" t="s">
        <v>221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</row>
    <row r="12" spans="1:22" ht="13.5" customHeight="1">
      <c r="A12" s="430" t="s">
        <v>79</v>
      </c>
      <c r="B12" s="430"/>
      <c r="C12" s="430"/>
      <c r="D12" s="430"/>
      <c r="E12" s="430"/>
      <c r="F12" s="430"/>
      <c r="G12" s="7"/>
      <c r="H12" s="6"/>
      <c r="I12" s="7"/>
      <c r="J12" s="6"/>
      <c r="V12" s="3"/>
    </row>
    <row r="13" spans="1:22" ht="13.5" customHeight="1">
      <c r="A13" s="430" t="s">
        <v>222</v>
      </c>
      <c r="B13" s="430"/>
      <c r="C13" s="430"/>
      <c r="D13" s="430"/>
      <c r="E13" s="430"/>
      <c r="F13" s="430"/>
      <c r="G13" s="7"/>
      <c r="H13" s="6"/>
      <c r="I13" s="7"/>
      <c r="J13" s="6"/>
      <c r="V13" s="3"/>
    </row>
    <row r="14" spans="1:22" ht="13.5" customHeight="1">
      <c r="A14" s="49"/>
      <c r="B14" s="49"/>
      <c r="C14" s="49"/>
      <c r="D14" s="49"/>
      <c r="E14" s="49"/>
      <c r="F14" s="49"/>
      <c r="G14" s="7"/>
      <c r="H14" s="6"/>
      <c r="I14" s="7"/>
      <c r="J14" s="6"/>
      <c r="V14" s="3"/>
    </row>
    <row r="15" spans="1:22" ht="94.5" customHeight="1">
      <c r="A15" s="60" t="s">
        <v>0</v>
      </c>
      <c r="B15" s="60" t="s">
        <v>1</v>
      </c>
      <c r="C15" s="434" t="s">
        <v>2</v>
      </c>
      <c r="D15" s="435"/>
      <c r="E15" s="436" t="s">
        <v>15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5"/>
      <c r="V15" s="60" t="s">
        <v>12</v>
      </c>
    </row>
    <row r="16" spans="1:22" ht="11.25" customHeight="1">
      <c r="A16" s="10">
        <v>1</v>
      </c>
      <c r="B16" s="10">
        <v>2</v>
      </c>
      <c r="C16" s="437">
        <v>3</v>
      </c>
      <c r="D16" s="438"/>
      <c r="E16" s="439" t="s">
        <v>11</v>
      </c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8"/>
      <c r="V16" s="61">
        <v>5</v>
      </c>
    </row>
    <row r="17" spans="1:22" ht="131.25" customHeight="1">
      <c r="A17" s="62" t="s">
        <v>3</v>
      </c>
      <c r="B17" s="63" t="s">
        <v>219</v>
      </c>
      <c r="C17" s="440" t="s">
        <v>77</v>
      </c>
      <c r="D17" s="441"/>
      <c r="E17" s="64" t="s">
        <v>21</v>
      </c>
      <c r="F17" s="65">
        <f>D18</f>
        <v>404.6</v>
      </c>
      <c r="G17" s="66" t="s">
        <v>22</v>
      </c>
      <c r="H17" s="66">
        <f>D20</f>
        <v>3</v>
      </c>
      <c r="I17" s="67" t="s">
        <v>10</v>
      </c>
      <c r="J17" s="68">
        <f>D19</f>
        <v>180.92</v>
      </c>
      <c r="K17" s="22" t="s">
        <v>23</v>
      </c>
      <c r="L17" s="69"/>
      <c r="M17" s="56"/>
      <c r="N17" s="56"/>
      <c r="O17" s="56"/>
      <c r="P17" s="56"/>
      <c r="Q17" s="56"/>
      <c r="R17" s="56"/>
      <c r="S17" s="56"/>
      <c r="T17" s="56"/>
      <c r="U17" s="56"/>
      <c r="V17" s="70">
        <f>ROUND((F17+H17*J17)*H19*J19,2)</f>
        <v>3779.97</v>
      </c>
    </row>
    <row r="18" spans="1:22" ht="11.25" customHeight="1">
      <c r="A18" s="71"/>
      <c r="B18" s="72"/>
      <c r="C18" s="73" t="s">
        <v>30</v>
      </c>
      <c r="D18" s="74">
        <v>404.6</v>
      </c>
      <c r="E18" s="75"/>
      <c r="F18" s="75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/>
      <c r="V18" s="78"/>
    </row>
    <row r="19" spans="1:22" ht="11.25" customHeight="1">
      <c r="A19" s="71"/>
      <c r="B19" s="72"/>
      <c r="C19" s="73" t="s">
        <v>33</v>
      </c>
      <c r="D19" s="79">
        <v>180.92</v>
      </c>
      <c r="E19" s="80"/>
      <c r="F19" s="81"/>
      <c r="G19" s="82" t="s">
        <v>10</v>
      </c>
      <c r="H19" s="83">
        <f>D21</f>
        <v>1</v>
      </c>
      <c r="I19" s="84" t="s">
        <v>10</v>
      </c>
      <c r="J19" s="85">
        <f>D22</f>
        <v>3.99</v>
      </c>
      <c r="K19" s="86"/>
      <c r="L19" s="442"/>
      <c r="M19" s="442"/>
      <c r="N19" s="83"/>
      <c r="O19" s="82"/>
      <c r="P19" s="76"/>
      <c r="Q19" s="76"/>
      <c r="R19" s="76"/>
      <c r="S19" s="76"/>
      <c r="T19" s="76"/>
      <c r="U19" s="77"/>
      <c r="V19" s="78"/>
    </row>
    <row r="20" spans="1:22" ht="11.25" customHeight="1">
      <c r="A20" s="71"/>
      <c r="B20" s="88"/>
      <c r="C20" s="73" t="s">
        <v>34</v>
      </c>
      <c r="D20" s="89">
        <v>3</v>
      </c>
      <c r="E20" s="75"/>
      <c r="F20" s="75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/>
      <c r="V20" s="78"/>
    </row>
    <row r="21" spans="1:22" ht="15.75" customHeight="1">
      <c r="A21" s="71"/>
      <c r="B21" s="90" t="s">
        <v>35</v>
      </c>
      <c r="C21" s="91"/>
      <c r="D21" s="79">
        <v>1</v>
      </c>
      <c r="E21" s="75"/>
      <c r="F21" s="75"/>
      <c r="G21" s="75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78"/>
    </row>
    <row r="22" spans="1:28" ht="27.75" customHeight="1">
      <c r="A22" s="92"/>
      <c r="B22" s="452" t="s">
        <v>38</v>
      </c>
      <c r="C22" s="453"/>
      <c r="D22" s="93">
        <v>3.99</v>
      </c>
      <c r="E22" s="94"/>
      <c r="F22" s="94"/>
      <c r="G22" s="94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  <c r="V22" s="97"/>
      <c r="AA22" s="443"/>
      <c r="AB22" s="443"/>
    </row>
    <row r="23" spans="1:22" ht="13.5" customHeight="1">
      <c r="A23" s="102" t="s">
        <v>11</v>
      </c>
      <c r="B23" s="101"/>
      <c r="C23" s="444" t="s">
        <v>31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6"/>
      <c r="V23" s="103">
        <f>V17</f>
        <v>3779.97</v>
      </c>
    </row>
    <row r="24" spans="1:22" ht="13.5" customHeight="1">
      <c r="A24" s="102" t="s">
        <v>18</v>
      </c>
      <c r="B24" s="104"/>
      <c r="C24" s="449" t="s">
        <v>29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1"/>
      <c r="V24" s="105">
        <f>V23*1000</f>
        <v>3779970</v>
      </c>
    </row>
    <row r="25" spans="1:28" ht="16.5" customHeight="1">
      <c r="A25" s="102" t="s">
        <v>25</v>
      </c>
      <c r="B25" s="434" t="s">
        <v>19</v>
      </c>
      <c r="C25" s="436"/>
      <c r="D25" s="9" t="s">
        <v>232</v>
      </c>
      <c r="E25" s="456">
        <f>V24</f>
        <v>3779970</v>
      </c>
      <c r="F25" s="457"/>
      <c r="G25" s="457"/>
      <c r="H25" s="457"/>
      <c r="I25" s="457"/>
      <c r="J25" s="457"/>
      <c r="K25" s="19" t="s">
        <v>10</v>
      </c>
      <c r="L25" s="19" t="str">
        <f>D25</f>
        <v>0,3</v>
      </c>
      <c r="M25" s="19"/>
      <c r="N25" s="19"/>
      <c r="O25" s="19"/>
      <c r="P25" s="19"/>
      <c r="Q25" s="19"/>
      <c r="R25" s="19"/>
      <c r="S25" s="19"/>
      <c r="T25" s="19"/>
      <c r="U25" s="19"/>
      <c r="V25" s="106">
        <f>ROUND(E25*L25,3)</f>
        <v>1133991</v>
      </c>
      <c r="Z25" s="454"/>
      <c r="AA25" s="454"/>
      <c r="AB25" s="454"/>
    </row>
    <row r="26" spans="1:28" ht="16.5" customHeight="1">
      <c r="A26" s="102"/>
      <c r="B26" s="458" t="s">
        <v>26</v>
      </c>
      <c r="C26" s="459"/>
      <c r="D26" s="21" t="s">
        <v>27</v>
      </c>
      <c r="E26" s="460">
        <f>V25</f>
        <v>1133991</v>
      </c>
      <c r="F26" s="461"/>
      <c r="G26" s="461"/>
      <c r="H26" s="461"/>
      <c r="I26" s="461"/>
      <c r="J26" s="461"/>
      <c r="K26" s="22" t="s">
        <v>10</v>
      </c>
      <c r="L26" s="23" t="s">
        <v>28</v>
      </c>
      <c r="M26" s="23"/>
      <c r="N26" s="23"/>
      <c r="O26" s="23"/>
      <c r="P26" s="19"/>
      <c r="Q26" s="19"/>
      <c r="R26" s="19"/>
      <c r="S26" s="19"/>
      <c r="T26" s="19"/>
      <c r="U26" s="19"/>
      <c r="V26" s="24">
        <f>ROUND(E26*L26,2)</f>
        <v>453596.4</v>
      </c>
      <c r="Z26" s="387"/>
      <c r="AA26" s="387"/>
      <c r="AB26" s="387"/>
    </row>
    <row r="27" spans="1:27" ht="12.75">
      <c r="A27" s="107" t="s">
        <v>32</v>
      </c>
      <c r="B27" s="1"/>
      <c r="C27" s="2" t="s">
        <v>13</v>
      </c>
      <c r="D27" s="108">
        <v>0.18</v>
      </c>
      <c r="E27" s="8"/>
      <c r="F27" s="8"/>
      <c r="G27" s="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>
        <f>ROUND(V26*0.18,3)</f>
        <v>81647.35</v>
      </c>
      <c r="Z27" s="455"/>
      <c r="AA27" s="455"/>
    </row>
    <row r="28" spans="1:24" ht="19.5" customHeight="1">
      <c r="A28" s="10" t="s">
        <v>36</v>
      </c>
      <c r="B28" s="439" t="s">
        <v>225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20"/>
      <c r="P28" s="5"/>
      <c r="Q28" s="5"/>
      <c r="R28" s="5"/>
      <c r="S28" s="5"/>
      <c r="T28" s="5"/>
      <c r="U28" s="5"/>
      <c r="V28" s="24">
        <f>V27+V26</f>
        <v>535243.75</v>
      </c>
      <c r="X28" s="55">
        <f>Свод!F21</f>
        <v>1036930.87</v>
      </c>
    </row>
    <row r="30" spans="2:8" ht="12.75">
      <c r="B30" s="5"/>
      <c r="C30" s="5"/>
      <c r="H30" s="5"/>
    </row>
    <row r="31" spans="2:11" ht="12.75">
      <c r="B31" s="447" t="s">
        <v>234</v>
      </c>
      <c r="C31" s="448"/>
      <c r="D31" s="448"/>
      <c r="E31" s="448"/>
      <c r="F31" s="448"/>
      <c r="G31" s="448"/>
      <c r="H31" s="448"/>
      <c r="I31" s="448"/>
      <c r="J31" s="448"/>
      <c r="K31" s="448"/>
    </row>
    <row r="32" spans="2:7" ht="12.75">
      <c r="B32" s="111"/>
      <c r="C32" s="111"/>
      <c r="G32" s="111"/>
    </row>
    <row r="33" spans="2:7" ht="12.75">
      <c r="B33" s="111"/>
      <c r="C33" s="111"/>
      <c r="G33" s="111"/>
    </row>
    <row r="34" spans="2:7" ht="12.75">
      <c r="B34" s="112"/>
      <c r="C34" s="111"/>
      <c r="G34" s="111"/>
    </row>
  </sheetData>
  <sheetProtection/>
  <mergeCells count="29">
    <mergeCell ref="B31:K31"/>
    <mergeCell ref="C24:U24"/>
    <mergeCell ref="B22:C22"/>
    <mergeCell ref="Z25:AB25"/>
    <mergeCell ref="Z27:AA27"/>
    <mergeCell ref="B28:N28"/>
    <mergeCell ref="E25:J25"/>
    <mergeCell ref="B25:C25"/>
    <mergeCell ref="B26:C26"/>
    <mergeCell ref="E26:J26"/>
    <mergeCell ref="C16:D16"/>
    <mergeCell ref="E16:U16"/>
    <mergeCell ref="C17:D17"/>
    <mergeCell ref="L19:M19"/>
    <mergeCell ref="AA22:AB22"/>
    <mergeCell ref="C23:U23"/>
    <mergeCell ref="A13:F13"/>
    <mergeCell ref="A11:V11"/>
    <mergeCell ref="A8:V8"/>
    <mergeCell ref="A9:V9"/>
    <mergeCell ref="E6:F6"/>
    <mergeCell ref="C15:D15"/>
    <mergeCell ref="E15:U15"/>
    <mergeCell ref="E1:V1"/>
    <mergeCell ref="E2:V2"/>
    <mergeCell ref="E3:V3"/>
    <mergeCell ref="E4:V4"/>
    <mergeCell ref="E5:V5"/>
    <mergeCell ref="A12:F12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115" zoomScaleSheetLayoutView="115" zoomScalePageLayoutView="0" workbookViewId="0" topLeftCell="A16">
      <selection activeCell="G6" sqref="G6:N6"/>
    </sheetView>
  </sheetViews>
  <sheetFormatPr defaultColWidth="9.00390625" defaultRowHeight="12.75"/>
  <cols>
    <col min="1" max="1" width="4.00390625" style="3" customWidth="1"/>
    <col min="2" max="2" width="35.25390625" style="3" customWidth="1"/>
    <col min="3" max="3" width="7.375" style="3" customWidth="1"/>
    <col min="4" max="4" width="14.875" style="3" customWidth="1"/>
    <col min="5" max="5" width="6.25390625" style="3" customWidth="1"/>
    <col min="6" max="6" width="2.25390625" style="3" customWidth="1"/>
    <col min="7" max="7" width="5.375" style="3" customWidth="1"/>
    <col min="8" max="8" width="2.625" style="3" customWidth="1"/>
    <col min="9" max="9" width="5.00390625" style="3" customWidth="1"/>
    <col min="10" max="10" width="1.625" style="3" customWidth="1"/>
    <col min="11" max="11" width="5.25390625" style="3" customWidth="1"/>
    <col min="12" max="12" width="1.25" style="3" customWidth="1"/>
    <col min="13" max="13" width="4.125" style="3" customWidth="1"/>
    <col min="14" max="14" width="12.375" style="3" customWidth="1"/>
    <col min="15" max="16384" width="9.125" style="3" customWidth="1"/>
  </cols>
  <sheetData>
    <row r="1" spans="1:14" ht="12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 customHeight="1">
      <c r="A2" s="173"/>
      <c r="B2" s="173"/>
      <c r="C2" s="173"/>
      <c r="D2" s="173"/>
      <c r="E2" s="198"/>
      <c r="F2" s="198"/>
      <c r="G2" s="429" t="s">
        <v>80</v>
      </c>
      <c r="H2" s="429"/>
      <c r="I2" s="429"/>
      <c r="J2" s="429"/>
      <c r="K2" s="429"/>
      <c r="L2" s="429"/>
      <c r="M2" s="429"/>
      <c r="N2" s="429"/>
    </row>
    <row r="3" spans="1:14" ht="15" customHeight="1">
      <c r="A3" s="463"/>
      <c r="B3" s="463"/>
      <c r="C3" s="192"/>
      <c r="D3" s="192"/>
      <c r="E3" s="197"/>
      <c r="F3" s="197"/>
      <c r="G3" s="420"/>
      <c r="H3" s="420"/>
      <c r="I3" s="420"/>
      <c r="J3" s="420"/>
      <c r="K3" s="420"/>
      <c r="L3" s="420"/>
      <c r="M3" s="420"/>
      <c r="N3" s="420"/>
    </row>
    <row r="4" spans="1:14" ht="15" customHeight="1">
      <c r="A4" s="464"/>
      <c r="B4" s="464"/>
      <c r="C4" s="464"/>
      <c r="D4" s="192"/>
      <c r="E4" s="196"/>
      <c r="F4" s="196"/>
      <c r="G4" s="420"/>
      <c r="H4" s="420"/>
      <c r="I4" s="420"/>
      <c r="J4" s="420"/>
      <c r="K4" s="420"/>
      <c r="L4" s="420"/>
      <c r="M4" s="420"/>
      <c r="N4" s="420"/>
    </row>
    <row r="5" spans="1:14" ht="19.5" customHeight="1">
      <c r="A5" s="463"/>
      <c r="B5" s="463"/>
      <c r="C5" s="192"/>
      <c r="D5" s="192"/>
      <c r="E5" s="194"/>
      <c r="F5" s="194"/>
      <c r="G5" s="420" t="s">
        <v>238</v>
      </c>
      <c r="H5" s="420"/>
      <c r="I5" s="420"/>
      <c r="J5" s="420"/>
      <c r="K5" s="420"/>
      <c r="L5" s="420"/>
      <c r="M5" s="420"/>
      <c r="N5" s="420"/>
    </row>
    <row r="6" spans="1:14" ht="19.5" customHeight="1">
      <c r="A6" s="464"/>
      <c r="B6" s="464"/>
      <c r="C6" s="192"/>
      <c r="D6" s="192"/>
      <c r="E6" s="191"/>
      <c r="F6" s="191"/>
      <c r="G6" s="420" t="s">
        <v>220</v>
      </c>
      <c r="H6" s="420"/>
      <c r="I6" s="420"/>
      <c r="J6" s="420"/>
      <c r="K6" s="420"/>
      <c r="L6" s="420"/>
      <c r="M6" s="420"/>
      <c r="N6" s="420"/>
    </row>
    <row r="7" spans="1:14" ht="12.75">
      <c r="A7" s="193"/>
      <c r="B7" s="193"/>
      <c r="C7" s="192"/>
      <c r="D7" s="192"/>
      <c r="E7" s="191"/>
      <c r="F7" s="191"/>
      <c r="G7" s="18"/>
      <c r="H7" s="18"/>
      <c r="I7" s="191"/>
      <c r="J7" s="191"/>
      <c r="K7" s="191"/>
      <c r="L7" s="191"/>
      <c r="M7" s="191"/>
      <c r="N7" s="191"/>
    </row>
    <row r="8" spans="1:14" ht="12.75">
      <c r="A8" s="173"/>
      <c r="B8" s="465" t="s">
        <v>168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190"/>
    </row>
    <row r="9" spans="1:14" ht="12.75">
      <c r="A9" s="173"/>
      <c r="B9" s="466" t="s">
        <v>111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173"/>
    </row>
    <row r="10" spans="1:14" ht="12.75">
      <c r="A10" s="173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73"/>
    </row>
    <row r="11" spans="1:14" ht="12.75">
      <c r="A11" s="462" t="s">
        <v>223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</row>
    <row r="12" spans="1:14" ht="12.75">
      <c r="A12" s="462" t="s">
        <v>79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</row>
    <row r="13" spans="1:14" ht="12.75">
      <c r="A13" s="462" t="s">
        <v>222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</row>
    <row r="14" spans="1:14" ht="12.75">
      <c r="A14" s="188" t="s">
        <v>37</v>
      </c>
      <c r="B14" s="467" t="s">
        <v>110</v>
      </c>
      <c r="C14" s="467"/>
      <c r="D14" s="467"/>
      <c r="E14" s="467"/>
      <c r="F14" s="467"/>
      <c r="G14" s="467"/>
      <c r="H14" s="467"/>
      <c r="I14" s="467"/>
      <c r="J14" s="467"/>
      <c r="K14" s="467"/>
      <c r="L14" s="188"/>
      <c r="M14" s="188"/>
      <c r="N14" s="188"/>
    </row>
    <row r="15" spans="1:14" ht="12.75">
      <c r="A15" s="468" t="s">
        <v>109</v>
      </c>
      <c r="B15" s="468" t="s">
        <v>39</v>
      </c>
      <c r="C15" s="468" t="s">
        <v>40</v>
      </c>
      <c r="D15" s="468" t="s">
        <v>41</v>
      </c>
      <c r="E15" s="469" t="s">
        <v>42</v>
      </c>
      <c r="F15" s="470"/>
      <c r="G15" s="470"/>
      <c r="H15" s="470"/>
      <c r="I15" s="470"/>
      <c r="J15" s="470"/>
      <c r="K15" s="470"/>
      <c r="L15" s="470"/>
      <c r="M15" s="470"/>
      <c r="N15" s="475" t="s">
        <v>108</v>
      </c>
    </row>
    <row r="16" spans="1:14" ht="12.75">
      <c r="A16" s="468"/>
      <c r="B16" s="468"/>
      <c r="C16" s="468"/>
      <c r="D16" s="468"/>
      <c r="E16" s="471"/>
      <c r="F16" s="472"/>
      <c r="G16" s="472"/>
      <c r="H16" s="472"/>
      <c r="I16" s="472"/>
      <c r="J16" s="472"/>
      <c r="K16" s="472"/>
      <c r="L16" s="472"/>
      <c r="M16" s="472"/>
      <c r="N16" s="476"/>
    </row>
    <row r="17" spans="1:14" ht="12.75">
      <c r="A17" s="185">
        <v>1</v>
      </c>
      <c r="B17" s="185">
        <v>2</v>
      </c>
      <c r="C17" s="185">
        <v>3</v>
      </c>
      <c r="D17" s="185">
        <v>4</v>
      </c>
      <c r="E17" s="477">
        <v>5</v>
      </c>
      <c r="F17" s="478"/>
      <c r="G17" s="478"/>
      <c r="H17" s="478"/>
      <c r="I17" s="478"/>
      <c r="J17" s="478"/>
      <c r="K17" s="478"/>
      <c r="L17" s="478"/>
      <c r="M17" s="478"/>
      <c r="N17" s="182">
        <v>6</v>
      </c>
    </row>
    <row r="18" spans="1:14" ht="12.75">
      <c r="A18" s="186"/>
      <c r="B18" s="186" t="s">
        <v>43</v>
      </c>
      <c r="C18" s="185"/>
      <c r="D18" s="184"/>
      <c r="E18" s="183"/>
      <c r="F18" s="183"/>
      <c r="G18" s="183"/>
      <c r="H18" s="183"/>
      <c r="I18" s="183"/>
      <c r="J18" s="183"/>
      <c r="K18" s="183"/>
      <c r="L18" s="183"/>
      <c r="M18" s="183"/>
      <c r="N18" s="182"/>
    </row>
    <row r="19" spans="1:14" ht="12.75">
      <c r="A19" s="180"/>
      <c r="B19" s="179" t="s">
        <v>107</v>
      </c>
      <c r="C19" s="178">
        <v>0.3</v>
      </c>
      <c r="D19" s="181"/>
      <c r="E19" s="176"/>
      <c r="F19" s="176"/>
      <c r="G19" s="176"/>
      <c r="H19" s="176"/>
      <c r="I19" s="176"/>
      <c r="J19" s="176"/>
      <c r="K19" s="176"/>
      <c r="L19" s="176"/>
      <c r="M19" s="176"/>
      <c r="N19" s="175"/>
    </row>
    <row r="20" spans="1:14" ht="12.75">
      <c r="A20" s="180"/>
      <c r="B20" s="179"/>
      <c r="C20" s="178"/>
      <c r="D20" s="177"/>
      <c r="E20" s="176"/>
      <c r="F20" s="176"/>
      <c r="G20" s="176"/>
      <c r="H20" s="176"/>
      <c r="I20" s="176"/>
      <c r="J20" s="176"/>
      <c r="K20" s="176"/>
      <c r="L20" s="176"/>
      <c r="M20" s="176"/>
      <c r="N20" s="175"/>
    </row>
    <row r="21" spans="1:14" ht="12.75">
      <c r="A21" s="479"/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1"/>
    </row>
    <row r="22" spans="1:14" ht="12.75">
      <c r="A22" s="482">
        <v>1</v>
      </c>
      <c r="B22" s="484" t="s">
        <v>106</v>
      </c>
      <c r="C22" s="167"/>
      <c r="D22" s="486" t="s">
        <v>105</v>
      </c>
      <c r="E22" s="487" t="s">
        <v>104</v>
      </c>
      <c r="F22" s="488"/>
      <c r="G22" s="488"/>
      <c r="H22" s="488"/>
      <c r="I22" s="488"/>
      <c r="J22" s="488"/>
      <c r="K22" s="488"/>
      <c r="L22" s="488"/>
      <c r="M22" s="488"/>
      <c r="N22" s="174"/>
    </row>
    <row r="23" spans="1:14" ht="12.75">
      <c r="A23" s="483"/>
      <c r="B23" s="485"/>
      <c r="C23" s="167"/>
      <c r="D23" s="486"/>
      <c r="E23" s="166">
        <v>3284</v>
      </c>
      <c r="F23" s="165" t="s">
        <v>87</v>
      </c>
      <c r="G23" s="169">
        <f>C19</f>
        <v>0.3</v>
      </c>
      <c r="H23" s="165" t="s">
        <v>87</v>
      </c>
      <c r="I23" s="165">
        <f>C27</f>
        <v>1.1</v>
      </c>
      <c r="J23" s="165" t="s">
        <v>87</v>
      </c>
      <c r="K23" s="173">
        <f>C26</f>
        <v>1.55</v>
      </c>
      <c r="L23" s="165"/>
      <c r="M23" s="173"/>
      <c r="N23" s="155">
        <f>E23*I23*G23*K23</f>
        <v>1679.77</v>
      </c>
    </row>
    <row r="24" spans="1:14" ht="12.75">
      <c r="A24" s="483"/>
      <c r="B24" s="485"/>
      <c r="C24" s="167"/>
      <c r="D24" s="486"/>
      <c r="E24" s="172"/>
      <c r="F24" s="171"/>
      <c r="G24" s="171"/>
      <c r="H24" s="171"/>
      <c r="I24" s="171"/>
      <c r="J24" s="171"/>
      <c r="K24" s="171"/>
      <c r="L24" s="171"/>
      <c r="M24" s="171"/>
      <c r="N24" s="164"/>
    </row>
    <row r="25" spans="1:14" ht="12.75">
      <c r="A25" s="483"/>
      <c r="B25" s="170" t="s">
        <v>103</v>
      </c>
      <c r="C25" s="167"/>
      <c r="D25" s="486"/>
      <c r="E25" s="166"/>
      <c r="F25" s="165"/>
      <c r="G25" s="165"/>
      <c r="H25" s="165"/>
      <c r="I25" s="165"/>
      <c r="J25" s="165"/>
      <c r="K25" s="165"/>
      <c r="L25" s="165"/>
      <c r="M25" s="165"/>
      <c r="N25" s="164"/>
    </row>
    <row r="26" spans="1:14" ht="12.75">
      <c r="A26" s="483"/>
      <c r="B26" s="170" t="s">
        <v>102</v>
      </c>
      <c r="C26" s="167">
        <v>1.55</v>
      </c>
      <c r="D26" s="486"/>
      <c r="E26" s="489" t="s">
        <v>101</v>
      </c>
      <c r="F26" s="490"/>
      <c r="G26" s="490"/>
      <c r="H26" s="490"/>
      <c r="I26" s="490"/>
      <c r="J26" s="490"/>
      <c r="K26" s="490"/>
      <c r="L26" s="490"/>
      <c r="M26" s="490"/>
      <c r="N26" s="164"/>
    </row>
    <row r="27" spans="1:14" ht="12.75">
      <c r="A27" s="483"/>
      <c r="B27" s="170" t="s">
        <v>100</v>
      </c>
      <c r="C27" s="167">
        <v>1.1</v>
      </c>
      <c r="D27" s="486"/>
      <c r="E27" s="166">
        <v>1067</v>
      </c>
      <c r="F27" s="165" t="s">
        <v>87</v>
      </c>
      <c r="G27" s="169">
        <f>G23</f>
        <v>0.3</v>
      </c>
      <c r="H27" s="165" t="s">
        <v>87</v>
      </c>
      <c r="I27" s="165">
        <f>C28</f>
        <v>1.2</v>
      </c>
      <c r="J27" s="165"/>
      <c r="K27" s="165"/>
      <c r="L27" s="165"/>
      <c r="M27" s="165"/>
      <c r="N27" s="155">
        <f>E27*I27*G27</f>
        <v>384.12</v>
      </c>
    </row>
    <row r="28" spans="1:14" ht="12.75">
      <c r="A28" s="483"/>
      <c r="B28" s="170" t="s">
        <v>99</v>
      </c>
      <c r="C28" s="167">
        <v>1.2</v>
      </c>
      <c r="D28" s="486"/>
      <c r="E28" s="166"/>
      <c r="F28" s="165"/>
      <c r="G28" s="169"/>
      <c r="H28" s="165"/>
      <c r="I28" s="165"/>
      <c r="J28" s="165"/>
      <c r="K28" s="165"/>
      <c r="L28" s="165"/>
      <c r="M28" s="165"/>
      <c r="N28" s="155"/>
    </row>
    <row r="29" spans="1:14" ht="12.75">
      <c r="A29" s="483"/>
      <c r="B29" s="168"/>
      <c r="C29" s="167"/>
      <c r="D29" s="486"/>
      <c r="E29" s="166"/>
      <c r="F29" s="165"/>
      <c r="G29" s="165"/>
      <c r="H29" s="165"/>
      <c r="I29" s="165"/>
      <c r="J29" s="165"/>
      <c r="K29" s="165"/>
      <c r="L29" s="165"/>
      <c r="M29" s="165"/>
      <c r="N29" s="164"/>
    </row>
    <row r="30" spans="1:14" ht="12.75">
      <c r="A30" s="141"/>
      <c r="B30" s="163"/>
      <c r="C30" s="163"/>
      <c r="D30" s="162"/>
      <c r="E30" s="132"/>
      <c r="F30" s="132"/>
      <c r="G30" s="132"/>
      <c r="H30" s="132"/>
      <c r="I30" s="132"/>
      <c r="J30" s="132"/>
      <c r="K30" s="132"/>
      <c r="L30" s="132"/>
      <c r="M30" s="136" t="s">
        <v>98</v>
      </c>
      <c r="N30" s="161">
        <f>N31+N32</f>
        <v>2063.89</v>
      </c>
    </row>
    <row r="31" spans="1:14" ht="12.75">
      <c r="A31" s="160"/>
      <c r="B31" s="159"/>
      <c r="C31" s="159"/>
      <c r="D31" s="158"/>
      <c r="E31" s="157"/>
      <c r="F31" s="157"/>
      <c r="G31" s="157"/>
      <c r="H31" s="157"/>
      <c r="I31" s="157"/>
      <c r="J31" s="157"/>
      <c r="K31" s="157"/>
      <c r="L31" s="157"/>
      <c r="M31" s="156" t="s">
        <v>97</v>
      </c>
      <c r="N31" s="155">
        <f>N23</f>
        <v>1679.77</v>
      </c>
    </row>
    <row r="32" spans="1:14" ht="12.75">
      <c r="A32" s="145"/>
      <c r="B32" s="154"/>
      <c r="C32" s="154"/>
      <c r="D32" s="153"/>
      <c r="E32" s="152"/>
      <c r="F32" s="152"/>
      <c r="G32" s="152"/>
      <c r="H32" s="152"/>
      <c r="I32" s="152"/>
      <c r="J32" s="152"/>
      <c r="K32" s="152"/>
      <c r="L32" s="152"/>
      <c r="M32" s="151" t="s">
        <v>96</v>
      </c>
      <c r="N32" s="150">
        <f>N27</f>
        <v>384.12</v>
      </c>
    </row>
    <row r="33" spans="1:14" ht="38.25">
      <c r="A33" s="145">
        <v>4</v>
      </c>
      <c r="B33" s="148" t="s">
        <v>95</v>
      </c>
      <c r="C33" s="149">
        <v>0.0375</v>
      </c>
      <c r="D33" s="148" t="s">
        <v>94</v>
      </c>
      <c r="E33" s="139">
        <v>3.75</v>
      </c>
      <c r="F33" s="121" t="s">
        <v>91</v>
      </c>
      <c r="G33" s="121" t="s">
        <v>90</v>
      </c>
      <c r="H33" s="495">
        <f>N31</f>
        <v>1680</v>
      </c>
      <c r="I33" s="496"/>
      <c r="J33" s="121"/>
      <c r="K33" s="147"/>
      <c r="L33" s="121"/>
      <c r="M33" s="146"/>
      <c r="N33" s="119">
        <f>(H33)*E33/100</f>
        <v>63</v>
      </c>
    </row>
    <row r="34" spans="1:14" ht="38.25">
      <c r="A34" s="145">
        <v>5</v>
      </c>
      <c r="B34" s="144" t="s">
        <v>93</v>
      </c>
      <c r="C34" s="143">
        <v>0.06</v>
      </c>
      <c r="D34" s="142" t="s">
        <v>92</v>
      </c>
      <c r="E34" s="141">
        <v>6</v>
      </c>
      <c r="F34" s="132" t="s">
        <v>91</v>
      </c>
      <c r="G34" s="132" t="s">
        <v>90</v>
      </c>
      <c r="H34" s="495">
        <f>N31+N33</f>
        <v>1743</v>
      </c>
      <c r="I34" s="496"/>
      <c r="J34" s="132"/>
      <c r="K34" s="140"/>
      <c r="L34" s="132"/>
      <c r="M34" s="140"/>
      <c r="N34" s="119">
        <f>(H34)*E34/100</f>
        <v>104.58</v>
      </c>
    </row>
    <row r="35" spans="1:14" ht="12.75">
      <c r="A35" s="139"/>
      <c r="B35" s="138"/>
      <c r="C35" s="138"/>
      <c r="D35" s="137"/>
      <c r="E35" s="132"/>
      <c r="F35" s="132"/>
      <c r="G35" s="132"/>
      <c r="H35" s="132"/>
      <c r="I35" s="132"/>
      <c r="J35" s="132"/>
      <c r="K35" s="132"/>
      <c r="L35" s="132"/>
      <c r="M35" s="136" t="s">
        <v>44</v>
      </c>
      <c r="N35" s="119">
        <f>N30+N33+N34</f>
        <v>2231.47</v>
      </c>
    </row>
    <row r="36" spans="1:14" ht="63.75">
      <c r="A36" s="135">
        <v>6</v>
      </c>
      <c r="B36" s="497" t="s">
        <v>89</v>
      </c>
      <c r="C36" s="498"/>
      <c r="D36" s="134" t="s">
        <v>88</v>
      </c>
      <c r="E36" s="499">
        <f>N35</f>
        <v>2231.47</v>
      </c>
      <c r="F36" s="500"/>
      <c r="G36" s="501"/>
      <c r="H36" s="132"/>
      <c r="I36" s="132"/>
      <c r="J36" s="132" t="s">
        <v>87</v>
      </c>
      <c r="K36" s="133">
        <v>3.99</v>
      </c>
      <c r="L36" s="132"/>
      <c r="M36" s="132"/>
      <c r="N36" s="119">
        <f>E36*K36</f>
        <v>8903.57</v>
      </c>
    </row>
    <row r="37" spans="1:14" ht="12.75">
      <c r="A37" s="491"/>
      <c r="B37" s="492"/>
      <c r="C37" s="492"/>
      <c r="D37" s="492"/>
      <c r="E37" s="492"/>
      <c r="F37" s="120"/>
      <c r="G37" s="122"/>
      <c r="H37" s="121"/>
      <c r="I37" s="473" t="s">
        <v>86</v>
      </c>
      <c r="J37" s="473"/>
      <c r="K37" s="473"/>
      <c r="L37" s="473"/>
      <c r="M37" s="474"/>
      <c r="N37" s="119">
        <f>N36</f>
        <v>8903.57</v>
      </c>
    </row>
    <row r="38" spans="1:14" ht="12.75">
      <c r="A38" s="131"/>
      <c r="B38" s="130" t="s">
        <v>19</v>
      </c>
      <c r="C38" s="129"/>
      <c r="D38" s="128">
        <v>1</v>
      </c>
      <c r="E38" s="127"/>
      <c r="F38" s="126"/>
      <c r="G38" s="126"/>
      <c r="H38" s="125"/>
      <c r="I38" s="125"/>
      <c r="J38" s="125"/>
      <c r="K38" s="125"/>
      <c r="L38" s="125"/>
      <c r="M38" s="124"/>
      <c r="N38" s="123">
        <f>ROUND(N37*D38,2)</f>
        <v>8903.57</v>
      </c>
    </row>
    <row r="39" spans="1:14" ht="12.75">
      <c r="A39" s="491"/>
      <c r="B39" s="492"/>
      <c r="C39" s="492"/>
      <c r="D39" s="492"/>
      <c r="E39" s="492"/>
      <c r="F39" s="120"/>
      <c r="G39" s="122"/>
      <c r="H39" s="121"/>
      <c r="I39" s="473" t="s">
        <v>85</v>
      </c>
      <c r="J39" s="473"/>
      <c r="K39" s="473"/>
      <c r="L39" s="473"/>
      <c r="M39" s="474"/>
      <c r="N39" s="119">
        <f>N38*18%</f>
        <v>1602.64</v>
      </c>
    </row>
    <row r="40" spans="1:14" ht="12.75">
      <c r="A40" s="491"/>
      <c r="B40" s="492"/>
      <c r="C40" s="492"/>
      <c r="D40" s="492"/>
      <c r="E40" s="492"/>
      <c r="F40" s="120"/>
      <c r="G40" s="493" t="s">
        <v>84</v>
      </c>
      <c r="H40" s="493"/>
      <c r="I40" s="493"/>
      <c r="J40" s="493"/>
      <c r="K40" s="493"/>
      <c r="L40" s="493"/>
      <c r="M40" s="494"/>
      <c r="N40" s="119">
        <f>N38+N39</f>
        <v>10506.21</v>
      </c>
    </row>
    <row r="41" spans="1:14" ht="12.75">
      <c r="A41" s="118"/>
      <c r="B41" s="117" t="s">
        <v>224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6"/>
      <c r="N41" s="115">
        <f>N40</f>
        <v>10506.21</v>
      </c>
    </row>
    <row r="45" spans="2:9" ht="12.75">
      <c r="B45" s="447" t="s">
        <v>234</v>
      </c>
      <c r="C45" s="448"/>
      <c r="D45" s="448"/>
      <c r="E45" s="448"/>
      <c r="F45" s="448"/>
      <c r="G45" s="448"/>
      <c r="H45" s="448"/>
      <c r="I45" s="448"/>
    </row>
    <row r="46" spans="2:4" ht="12.75">
      <c r="B46" s="111"/>
      <c r="C46" s="111"/>
      <c r="D46" s="111"/>
    </row>
    <row r="47" spans="2:4" ht="12.75">
      <c r="B47" s="111"/>
      <c r="C47" s="111"/>
      <c r="D47" s="111"/>
    </row>
    <row r="48" spans="2:4" ht="12.75">
      <c r="B48" s="112"/>
      <c r="C48" s="111"/>
      <c r="D48" s="111"/>
    </row>
  </sheetData>
  <sheetProtection/>
  <mergeCells count="39">
    <mergeCell ref="B45:I45"/>
    <mergeCell ref="A39:E39"/>
    <mergeCell ref="I39:M39"/>
    <mergeCell ref="A40:E40"/>
    <mergeCell ref="G40:M40"/>
    <mergeCell ref="H33:I33"/>
    <mergeCell ref="H34:I34"/>
    <mergeCell ref="B36:C36"/>
    <mergeCell ref="E36:G36"/>
    <mergeCell ref="A37:E37"/>
    <mergeCell ref="I37:M37"/>
    <mergeCell ref="N15:N16"/>
    <mergeCell ref="E17:M17"/>
    <mergeCell ref="A21:N21"/>
    <mergeCell ref="A22:A29"/>
    <mergeCell ref="B22:B24"/>
    <mergeCell ref="D22:D29"/>
    <mergeCell ref="E22:M22"/>
    <mergeCell ref="E26:M26"/>
    <mergeCell ref="A6:B6"/>
    <mergeCell ref="B8:M8"/>
    <mergeCell ref="B9:M9"/>
    <mergeCell ref="A11:N11"/>
    <mergeCell ref="B14:K14"/>
    <mergeCell ref="A15:A16"/>
    <mergeCell ref="B15:B16"/>
    <mergeCell ref="C15:C16"/>
    <mergeCell ref="D15:D16"/>
    <mergeCell ref="E15:M16"/>
    <mergeCell ref="A12:N12"/>
    <mergeCell ref="A13:N13"/>
    <mergeCell ref="G2:N2"/>
    <mergeCell ref="G3:N3"/>
    <mergeCell ref="G4:N4"/>
    <mergeCell ref="G5:N5"/>
    <mergeCell ref="G6:N6"/>
    <mergeCell ref="A3:B3"/>
    <mergeCell ref="A4:C4"/>
    <mergeCell ref="A5:B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view="pageBreakPreview" zoomScaleSheetLayoutView="100" zoomScalePageLayoutView="0" workbookViewId="0" topLeftCell="A1">
      <selection activeCell="I6" sqref="I6:N6"/>
    </sheetView>
  </sheetViews>
  <sheetFormatPr defaultColWidth="9.00390625" defaultRowHeight="12.75"/>
  <cols>
    <col min="1" max="1" width="4.375" style="3" customWidth="1"/>
    <col min="2" max="2" width="39.00390625" style="3" customWidth="1"/>
    <col min="3" max="3" width="14.00390625" style="3" customWidth="1"/>
    <col min="4" max="4" width="19.75390625" style="3" customWidth="1"/>
    <col min="5" max="5" width="5.125" style="3" customWidth="1"/>
    <col min="6" max="6" width="1.75390625" style="3" customWidth="1"/>
    <col min="7" max="7" width="5.125" style="3" customWidth="1"/>
    <col min="8" max="8" width="2.125" style="3" customWidth="1"/>
    <col min="9" max="9" width="6.25390625" style="3" customWidth="1"/>
    <col min="10" max="10" width="1.75390625" style="3" customWidth="1"/>
    <col min="11" max="11" width="3.125" style="3" customWidth="1"/>
    <col min="12" max="12" width="1.37890625" style="3" customWidth="1"/>
    <col min="13" max="13" width="11.125" style="3" customWidth="1"/>
    <col min="14" max="14" width="14.00390625" style="3" customWidth="1"/>
    <col min="15" max="16384" width="9.125" style="3" customWidth="1"/>
  </cols>
  <sheetData>
    <row r="1" spans="1:14" ht="12.75">
      <c r="A1" s="31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 customHeight="1">
      <c r="A2" s="312"/>
      <c r="B2" s="173"/>
      <c r="C2" s="173"/>
      <c r="D2" s="173"/>
      <c r="E2" s="173"/>
      <c r="F2" s="173"/>
      <c r="G2" s="173"/>
      <c r="H2" s="173"/>
      <c r="I2" s="502" t="s">
        <v>80</v>
      </c>
      <c r="J2" s="502"/>
      <c r="K2" s="502"/>
      <c r="L2" s="502"/>
      <c r="M2" s="502"/>
      <c r="N2" s="502"/>
    </row>
    <row r="3" spans="1:14" ht="15" customHeight="1">
      <c r="A3" s="463"/>
      <c r="B3" s="463"/>
      <c r="C3" s="192"/>
      <c r="D3" s="192"/>
      <c r="E3" s="197"/>
      <c r="F3" s="197"/>
      <c r="G3" s="173"/>
      <c r="H3" s="173"/>
      <c r="I3" s="503"/>
      <c r="J3" s="503"/>
      <c r="K3" s="503"/>
      <c r="L3" s="503"/>
      <c r="M3" s="503"/>
      <c r="N3" s="503"/>
    </row>
    <row r="4" spans="1:14" ht="15" customHeight="1">
      <c r="A4" s="464"/>
      <c r="B4" s="464"/>
      <c r="C4" s="464"/>
      <c r="D4" s="192"/>
      <c r="E4" s="196"/>
      <c r="F4" s="196"/>
      <c r="G4" s="196"/>
      <c r="H4" s="196"/>
      <c r="I4" s="503"/>
      <c r="J4" s="503"/>
      <c r="K4" s="503"/>
      <c r="L4" s="503"/>
      <c r="M4" s="503"/>
      <c r="N4" s="503"/>
    </row>
    <row r="5" spans="1:14" ht="19.5" customHeight="1">
      <c r="A5" s="463"/>
      <c r="B5" s="463"/>
      <c r="C5" s="192"/>
      <c r="D5" s="192"/>
      <c r="E5" s="194"/>
      <c r="F5" s="194"/>
      <c r="G5" s="194"/>
      <c r="H5" s="194"/>
      <c r="I5" s="503" t="s">
        <v>237</v>
      </c>
      <c r="J5" s="503"/>
      <c r="K5" s="503"/>
      <c r="L5" s="503"/>
      <c r="M5" s="503"/>
      <c r="N5" s="503"/>
    </row>
    <row r="6" spans="1:14" ht="19.5" customHeight="1">
      <c r="A6" s="463"/>
      <c r="B6" s="463"/>
      <c r="C6" s="312"/>
      <c r="D6" s="312"/>
      <c r="E6" s="194"/>
      <c r="F6" s="194"/>
      <c r="G6" s="194"/>
      <c r="H6" s="194"/>
      <c r="I6" s="463" t="s">
        <v>220</v>
      </c>
      <c r="J6" s="463"/>
      <c r="K6" s="463"/>
      <c r="L6" s="463"/>
      <c r="M6" s="463"/>
      <c r="N6" s="463"/>
    </row>
    <row r="7" spans="1:14" ht="19.5" customHeight="1">
      <c r="A7" s="195"/>
      <c r="B7" s="195"/>
      <c r="C7" s="312"/>
      <c r="D7" s="312"/>
      <c r="E7" s="194"/>
      <c r="F7" s="194"/>
      <c r="G7" s="194"/>
      <c r="H7" s="194"/>
      <c r="I7" s="195"/>
      <c r="J7" s="195"/>
      <c r="K7" s="195"/>
      <c r="L7" s="195"/>
      <c r="M7" s="195"/>
      <c r="N7" s="195"/>
    </row>
    <row r="8" spans="1:14" ht="12.75">
      <c r="A8" s="505" t="s">
        <v>218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</row>
    <row r="9" spans="1:14" ht="12.75">
      <c r="A9" s="505" t="s">
        <v>167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</row>
    <row r="10" spans="1:14" ht="12.75">
      <c r="A10" s="195"/>
      <c r="B10" s="195"/>
      <c r="C10" s="312"/>
      <c r="D10" s="312"/>
      <c r="E10" s="194"/>
      <c r="F10" s="194"/>
      <c r="G10" s="194"/>
      <c r="H10" s="194"/>
      <c r="I10" s="194"/>
      <c r="J10" s="194"/>
      <c r="K10" s="194"/>
      <c r="L10" s="194"/>
      <c r="M10" s="194"/>
      <c r="N10" s="194"/>
    </row>
    <row r="11" spans="1:14" ht="12.75">
      <c r="A11" s="504" t="s">
        <v>227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</row>
    <row r="12" spans="1:14" ht="12.75">
      <c r="A12" s="504" t="s">
        <v>79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</row>
    <row r="13" spans="1:14" ht="12.75">
      <c r="A13" s="504" t="s">
        <v>222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</row>
    <row r="14" spans="1:14" ht="12.75">
      <c r="A14" s="311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</row>
    <row r="15" spans="1:14" ht="12.75">
      <c r="A15" s="506" t="s">
        <v>20</v>
      </c>
      <c r="B15" s="506" t="s">
        <v>39</v>
      </c>
      <c r="C15" s="506" t="s">
        <v>166</v>
      </c>
      <c r="D15" s="506" t="s">
        <v>165</v>
      </c>
      <c r="E15" s="509"/>
      <c r="F15" s="510"/>
      <c r="G15" s="510"/>
      <c r="H15" s="510"/>
      <c r="I15" s="510"/>
      <c r="J15" s="510"/>
      <c r="K15" s="510"/>
      <c r="L15" s="511"/>
      <c r="M15" s="506" t="s">
        <v>164</v>
      </c>
      <c r="N15" s="506"/>
    </row>
    <row r="16" spans="1:14" ht="12.75">
      <c r="A16" s="506"/>
      <c r="B16" s="506"/>
      <c r="C16" s="506"/>
      <c r="D16" s="506"/>
      <c r="E16" s="512"/>
      <c r="F16" s="513"/>
      <c r="G16" s="513"/>
      <c r="H16" s="513"/>
      <c r="I16" s="513"/>
      <c r="J16" s="513"/>
      <c r="K16" s="513"/>
      <c r="L16" s="514"/>
      <c r="M16" s="506">
        <v>44.5</v>
      </c>
      <c r="N16" s="506"/>
    </row>
    <row r="17" spans="1:14" ht="12.75">
      <c r="A17" s="506"/>
      <c r="B17" s="506"/>
      <c r="C17" s="506"/>
      <c r="D17" s="506"/>
      <c r="E17" s="515"/>
      <c r="F17" s="516"/>
      <c r="G17" s="516"/>
      <c r="H17" s="516"/>
      <c r="I17" s="516"/>
      <c r="J17" s="516"/>
      <c r="K17" s="516"/>
      <c r="L17" s="517"/>
      <c r="M17" s="309" t="s">
        <v>163</v>
      </c>
      <c r="N17" s="309" t="s">
        <v>226</v>
      </c>
    </row>
    <row r="18" spans="1:14" ht="12.75">
      <c r="A18" s="204"/>
      <c r="B18" s="506" t="s">
        <v>162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</row>
    <row r="19" spans="1:14" ht="12.75">
      <c r="A19" s="521" t="s">
        <v>161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</row>
    <row r="20" spans="1:14" ht="12.75">
      <c r="A20" s="268"/>
      <c r="B20" s="476" t="s">
        <v>160</v>
      </c>
      <c r="C20" s="476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8"/>
    </row>
    <row r="21" spans="1:14" ht="12.75">
      <c r="A21" s="210"/>
      <c r="B21" s="307" t="s">
        <v>159</v>
      </c>
      <c r="C21" s="187">
        <v>1</v>
      </c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4"/>
    </row>
    <row r="22" spans="1:14" ht="12.75">
      <c r="A22" s="210"/>
      <c r="B22" s="307" t="s">
        <v>158</v>
      </c>
      <c r="C22" s="302">
        <f>M16</f>
        <v>44.5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4"/>
    </row>
    <row r="23" spans="1:14" ht="12.75">
      <c r="A23" s="286"/>
      <c r="B23" s="307" t="s">
        <v>157</v>
      </c>
      <c r="C23" s="302">
        <v>2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4"/>
    </row>
    <row r="24" spans="1:14" ht="12.75">
      <c r="A24" s="286"/>
      <c r="B24" s="306" t="s">
        <v>156</v>
      </c>
      <c r="C24" s="302">
        <v>10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4"/>
    </row>
    <row r="25" spans="1:14" ht="12.75">
      <c r="A25" s="286"/>
      <c r="B25" s="305" t="s">
        <v>155</v>
      </c>
      <c r="C25" s="302">
        <f>C23</f>
        <v>2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4"/>
    </row>
    <row r="26" spans="1:14" ht="12.75">
      <c r="A26" s="286"/>
      <c r="B26" s="303" t="s">
        <v>154</v>
      </c>
      <c r="C26" s="302">
        <f>C23*C24</f>
        <v>20</v>
      </c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0"/>
    </row>
    <row r="27" spans="1:14" ht="12.75">
      <c r="A27" s="523" t="s">
        <v>153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</row>
    <row r="28" spans="1:14" ht="63.75">
      <c r="A28" s="288">
        <v>1</v>
      </c>
      <c r="B28" s="299" t="s">
        <v>152</v>
      </c>
      <c r="C28" s="298" t="s">
        <v>151</v>
      </c>
      <c r="D28" s="289"/>
      <c r="E28" s="288">
        <f>18.4</f>
        <v>18.4</v>
      </c>
      <c r="F28" s="297" t="s">
        <v>10</v>
      </c>
      <c r="G28" s="297">
        <f>C25</f>
        <v>2</v>
      </c>
      <c r="H28" s="297" t="s">
        <v>10</v>
      </c>
      <c r="I28" s="297">
        <v>0.5</v>
      </c>
      <c r="J28" s="297"/>
      <c r="K28" s="297"/>
      <c r="L28" s="284"/>
      <c r="M28" s="297">
        <f>E28*0.5*C25</f>
        <v>18.4</v>
      </c>
      <c r="N28" s="289">
        <f>ROUND((M28*$M$16),2)</f>
        <v>818.8</v>
      </c>
    </row>
    <row r="29" spans="1:14" ht="12.75">
      <c r="A29" s="283"/>
      <c r="B29" s="294">
        <f>C25</f>
        <v>2</v>
      </c>
      <c r="C29" s="296"/>
      <c r="D29" s="278"/>
      <c r="E29" s="283"/>
      <c r="F29" s="295"/>
      <c r="G29" s="295"/>
      <c r="H29" s="295"/>
      <c r="I29" s="295"/>
      <c r="J29" s="295"/>
      <c r="K29" s="295"/>
      <c r="L29" s="279"/>
      <c r="M29" s="295"/>
      <c r="N29" s="278"/>
    </row>
    <row r="30" spans="1:14" ht="25.5">
      <c r="A30" s="278">
        <v>2</v>
      </c>
      <c r="B30" s="294" t="s">
        <v>150</v>
      </c>
      <c r="C30" s="294" t="s">
        <v>149</v>
      </c>
      <c r="D30" s="283"/>
      <c r="E30" s="293">
        <f>E28</f>
        <v>18.4</v>
      </c>
      <c r="F30" s="292" t="s">
        <v>10</v>
      </c>
      <c r="G30" s="292">
        <f>C25</f>
        <v>2</v>
      </c>
      <c r="H30" s="292"/>
      <c r="I30" s="292"/>
      <c r="J30" s="292"/>
      <c r="K30" s="292"/>
      <c r="L30" s="291"/>
      <c r="M30" s="279">
        <f>E30*G30</f>
        <v>36.8</v>
      </c>
      <c r="N30" s="278">
        <f>ROUND((M30*$M$16),2)</f>
        <v>1637.6</v>
      </c>
    </row>
    <row r="31" spans="1:14" ht="25.5">
      <c r="A31" s="289">
        <v>3</v>
      </c>
      <c r="B31" s="287" t="s">
        <v>148</v>
      </c>
      <c r="C31" s="286" t="s">
        <v>147</v>
      </c>
      <c r="D31" s="256"/>
      <c r="E31" s="256">
        <f>C26</f>
        <v>20</v>
      </c>
      <c r="F31" s="255" t="s">
        <v>10</v>
      </c>
      <c r="G31" s="255">
        <v>38.4</v>
      </c>
      <c r="H31" s="255"/>
      <c r="I31" s="255"/>
      <c r="J31" s="255"/>
      <c r="K31" s="255"/>
      <c r="L31" s="254"/>
      <c r="M31" s="290">
        <f>C26*G31</f>
        <v>768</v>
      </c>
      <c r="N31" s="289">
        <f>ROUND((M31*$M$16),2)</f>
        <v>34176</v>
      </c>
    </row>
    <row r="32" spans="1:14" ht="25.5">
      <c r="A32" s="288">
        <v>4</v>
      </c>
      <c r="B32" s="287" t="s">
        <v>146</v>
      </c>
      <c r="C32" s="255" t="s">
        <v>145</v>
      </c>
      <c r="D32" s="286"/>
      <c r="E32" s="255">
        <f>22.9</f>
        <v>22.9</v>
      </c>
      <c r="F32" s="255" t="s">
        <v>10</v>
      </c>
      <c r="G32" s="255">
        <f>B33</f>
        <v>10</v>
      </c>
      <c r="H32" s="255"/>
      <c r="I32" s="255"/>
      <c r="J32" s="255"/>
      <c r="K32" s="255"/>
      <c r="L32" s="255"/>
      <c r="M32" s="285">
        <f>22.9*35</f>
        <v>801.5</v>
      </c>
      <c r="N32" s="284">
        <f>ROUND((M32*$M$16),2)</f>
        <v>35666.75</v>
      </c>
    </row>
    <row r="33" spans="1:14" ht="12.75">
      <c r="A33" s="283"/>
      <c r="B33" s="282">
        <f>ROUND(C26/2,0)</f>
        <v>10</v>
      </c>
      <c r="C33" s="281"/>
      <c r="D33" s="268"/>
      <c r="E33" s="281"/>
      <c r="F33" s="281"/>
      <c r="G33" s="281"/>
      <c r="H33" s="281"/>
      <c r="I33" s="281"/>
      <c r="J33" s="281"/>
      <c r="K33" s="281"/>
      <c r="L33" s="281"/>
      <c r="M33" s="280"/>
      <c r="N33" s="279"/>
    </row>
    <row r="34" spans="1:14" ht="12.75">
      <c r="A34" s="278">
        <v>6</v>
      </c>
      <c r="B34" s="507" t="s">
        <v>138</v>
      </c>
      <c r="C34" s="507"/>
      <c r="D34" s="508"/>
      <c r="E34" s="277"/>
      <c r="F34" s="229"/>
      <c r="G34" s="229"/>
      <c r="H34" s="229"/>
      <c r="I34" s="229"/>
      <c r="J34" s="229"/>
      <c r="K34" s="229"/>
      <c r="L34" s="276"/>
      <c r="M34" s="275">
        <f>SUM(M28:M33)</f>
        <v>1624.7</v>
      </c>
      <c r="N34" s="274">
        <f>SUM(N28:N33)</f>
        <v>72299.15</v>
      </c>
    </row>
    <row r="35" spans="1:14" ht="25.5">
      <c r="A35" s="204">
        <v>7</v>
      </c>
      <c r="B35" s="273" t="s">
        <v>144</v>
      </c>
      <c r="C35" s="268" t="s">
        <v>143</v>
      </c>
      <c r="D35" s="272" t="s">
        <v>142</v>
      </c>
      <c r="E35" s="525">
        <f>M34</f>
        <v>1624.7</v>
      </c>
      <c r="F35" s="526"/>
      <c r="G35" s="526"/>
      <c r="H35" s="271" t="s">
        <v>10</v>
      </c>
      <c r="I35" s="271">
        <v>0.0875</v>
      </c>
      <c r="J35" s="271"/>
      <c r="K35" s="271"/>
      <c r="L35" s="270"/>
      <c r="M35" s="269">
        <f>M34*I35</f>
        <v>142.16</v>
      </c>
      <c r="N35" s="268">
        <f>ROUND((M35*$M$16),2)</f>
        <v>6326.12</v>
      </c>
    </row>
    <row r="36" spans="1:14" ht="38.25">
      <c r="A36" s="204">
        <v>8</v>
      </c>
      <c r="B36" s="267" t="s">
        <v>141</v>
      </c>
      <c r="C36" s="266" t="s">
        <v>140</v>
      </c>
      <c r="D36" s="265" t="s">
        <v>139</v>
      </c>
      <c r="E36" s="527">
        <f>M34+M35</f>
        <v>1766.86</v>
      </c>
      <c r="F36" s="528"/>
      <c r="G36" s="528"/>
      <c r="H36" s="264" t="s">
        <v>10</v>
      </c>
      <c r="I36" s="264">
        <v>0.06</v>
      </c>
      <c r="J36" s="264"/>
      <c r="K36" s="264"/>
      <c r="L36" s="263"/>
      <c r="M36" s="262">
        <f>(M34+M35)*0.06</f>
        <v>106.01</v>
      </c>
      <c r="N36" s="210">
        <f>ROUND((M36*$M$16),2)</f>
        <v>4717.45</v>
      </c>
    </row>
    <row r="37" spans="1:14" ht="12.75">
      <c r="A37" s="204">
        <v>9</v>
      </c>
      <c r="B37" s="529" t="s">
        <v>138</v>
      </c>
      <c r="C37" s="529"/>
      <c r="D37" s="530"/>
      <c r="E37" s="261"/>
      <c r="F37" s="260"/>
      <c r="G37" s="260"/>
      <c r="H37" s="260"/>
      <c r="I37" s="260"/>
      <c r="J37" s="260"/>
      <c r="K37" s="260"/>
      <c r="L37" s="259"/>
      <c r="M37" s="258">
        <f>SUM(M34:M36)</f>
        <v>1872.87</v>
      </c>
      <c r="N37" s="257">
        <f>SUM(N34:N36)</f>
        <v>83342.72</v>
      </c>
    </row>
    <row r="38" spans="1:14" ht="12.75">
      <c r="A38" s="204">
        <v>10</v>
      </c>
      <c r="B38" s="506" t="s">
        <v>137</v>
      </c>
      <c r="C38" s="506"/>
      <c r="D38" s="506"/>
      <c r="E38" s="518"/>
      <c r="F38" s="518"/>
      <c r="G38" s="518"/>
      <c r="H38" s="518"/>
      <c r="I38" s="518"/>
      <c r="J38" s="518"/>
      <c r="K38" s="518"/>
      <c r="L38" s="518"/>
      <c r="M38" s="506"/>
      <c r="N38" s="506"/>
    </row>
    <row r="39" spans="1:14" ht="25.5">
      <c r="A39" s="204">
        <v>11</v>
      </c>
      <c r="B39" s="253" t="s">
        <v>136</v>
      </c>
      <c r="C39" s="210" t="s">
        <v>135</v>
      </c>
      <c r="D39" s="209"/>
      <c r="E39" s="256">
        <f>C25</f>
        <v>2</v>
      </c>
      <c r="F39" s="255" t="s">
        <v>10</v>
      </c>
      <c r="G39" s="531">
        <v>220.2</v>
      </c>
      <c r="H39" s="531"/>
      <c r="I39" s="255"/>
      <c r="J39" s="255"/>
      <c r="K39" s="255"/>
      <c r="L39" s="254"/>
      <c r="M39" s="247">
        <f>E39*G39</f>
        <v>440.4</v>
      </c>
      <c r="N39" s="204">
        <f>ROUND((M39*$M$16),2)</f>
        <v>19597.8</v>
      </c>
    </row>
    <row r="40" spans="1:14" ht="25.5">
      <c r="A40" s="204">
        <v>12</v>
      </c>
      <c r="B40" s="253" t="s">
        <v>134</v>
      </c>
      <c r="C40" s="210" t="s">
        <v>133</v>
      </c>
      <c r="D40" s="209"/>
      <c r="E40" s="209">
        <f>C25</f>
        <v>2</v>
      </c>
      <c r="F40" s="223" t="s">
        <v>10</v>
      </c>
      <c r="G40" s="223">
        <v>48.4</v>
      </c>
      <c r="H40" s="125"/>
      <c r="I40" s="223"/>
      <c r="J40" s="223"/>
      <c r="K40" s="223"/>
      <c r="L40" s="222"/>
      <c r="M40" s="247">
        <f>E40*G40</f>
        <v>96.8</v>
      </c>
      <c r="N40" s="204">
        <f>ROUND((M40*$M$16),2)</f>
        <v>4307.6</v>
      </c>
    </row>
    <row r="41" spans="1:14" ht="25.5">
      <c r="A41" s="204">
        <v>13</v>
      </c>
      <c r="B41" s="252" t="s">
        <v>132</v>
      </c>
      <c r="C41" s="252" t="s">
        <v>131</v>
      </c>
      <c r="D41" s="251"/>
      <c r="E41" s="250">
        <f>C25</f>
        <v>2</v>
      </c>
      <c r="F41" s="249" t="s">
        <v>10</v>
      </c>
      <c r="G41" s="249">
        <v>25.4</v>
      </c>
      <c r="H41" s="249"/>
      <c r="I41" s="249"/>
      <c r="J41" s="249"/>
      <c r="K41" s="249"/>
      <c r="L41" s="248"/>
      <c r="M41" s="247">
        <f>E41*G41</f>
        <v>50.8</v>
      </c>
      <c r="N41" s="204">
        <f>ROUND((M41*$M$16),2)</f>
        <v>2260.6</v>
      </c>
    </row>
    <row r="42" spans="1:14" ht="12.75">
      <c r="A42" s="204">
        <v>14</v>
      </c>
      <c r="B42" s="507" t="s">
        <v>130</v>
      </c>
      <c r="C42" s="507"/>
      <c r="D42" s="508"/>
      <c r="E42" s="229"/>
      <c r="F42" s="229"/>
      <c r="G42" s="229"/>
      <c r="H42" s="229"/>
      <c r="I42" s="229"/>
      <c r="J42" s="229"/>
      <c r="K42" s="229"/>
      <c r="L42" s="229"/>
      <c r="M42" s="246">
        <f>SUM(M39:M41)</f>
        <v>588</v>
      </c>
      <c r="N42" s="227">
        <f>SUM(N39:N41)</f>
        <v>26166</v>
      </c>
    </row>
    <row r="43" spans="1:14" ht="12.75">
      <c r="A43" s="204">
        <v>15</v>
      </c>
      <c r="B43" s="519" t="s">
        <v>129</v>
      </c>
      <c r="C43" s="519"/>
      <c r="D43" s="519"/>
      <c r="E43" s="520"/>
      <c r="F43" s="520"/>
      <c r="G43" s="520"/>
      <c r="H43" s="520"/>
      <c r="I43" s="520"/>
      <c r="J43" s="520"/>
      <c r="K43" s="520"/>
      <c r="L43" s="520"/>
      <c r="M43" s="519"/>
      <c r="N43" s="519"/>
    </row>
    <row r="44" spans="1:14" ht="25.5">
      <c r="A44" s="204">
        <v>16</v>
      </c>
      <c r="B44" s="245" t="s">
        <v>128</v>
      </c>
      <c r="C44" s="244" t="s">
        <v>127</v>
      </c>
      <c r="D44" s="243"/>
      <c r="E44" s="242">
        <f>C26</f>
        <v>20</v>
      </c>
      <c r="F44" s="241" t="s">
        <v>10</v>
      </c>
      <c r="G44" s="241">
        <v>9</v>
      </c>
      <c r="H44" s="241"/>
      <c r="I44" s="241"/>
      <c r="J44" s="241"/>
      <c r="K44" s="241"/>
      <c r="L44" s="240"/>
      <c r="M44" s="239">
        <f>E44*9</f>
        <v>180</v>
      </c>
      <c r="N44" s="204">
        <f>ROUND((M44*$M$16),2)</f>
        <v>8010</v>
      </c>
    </row>
    <row r="45" spans="1:14" ht="12.75">
      <c r="A45" s="204">
        <v>17</v>
      </c>
      <c r="B45" s="211" t="s">
        <v>126</v>
      </c>
      <c r="C45" s="210" t="s">
        <v>125</v>
      </c>
      <c r="D45" s="238"/>
      <c r="E45" s="238">
        <f>E44</f>
        <v>20</v>
      </c>
      <c r="F45" s="237" t="s">
        <v>10</v>
      </c>
      <c r="G45" s="237">
        <v>8.2</v>
      </c>
      <c r="H45" s="237"/>
      <c r="I45" s="237"/>
      <c r="J45" s="237"/>
      <c r="K45" s="237"/>
      <c r="L45" s="236"/>
      <c r="M45" s="235">
        <f>E45*8.2</f>
        <v>164</v>
      </c>
      <c r="N45" s="204">
        <f>ROUND((M45*$M$16),2)</f>
        <v>7298</v>
      </c>
    </row>
    <row r="46" spans="1:14" ht="25.5">
      <c r="A46" s="204">
        <v>18</v>
      </c>
      <c r="B46" s="211" t="s">
        <v>124</v>
      </c>
      <c r="C46" s="234" t="s">
        <v>123</v>
      </c>
      <c r="D46" s="233"/>
      <c r="E46" s="533">
        <f>M42</f>
        <v>588</v>
      </c>
      <c r="F46" s="534"/>
      <c r="G46" s="534"/>
      <c r="H46" s="232" t="s">
        <v>10</v>
      </c>
      <c r="I46" s="232">
        <v>0.2</v>
      </c>
      <c r="J46" s="232"/>
      <c r="K46" s="232"/>
      <c r="L46" s="231"/>
      <c r="M46" s="230">
        <f>E46*I46</f>
        <v>117.6</v>
      </c>
      <c r="N46" s="204">
        <f>ROUND((M46*$M$16),2)</f>
        <v>5233.2</v>
      </c>
    </row>
    <row r="47" spans="1:14" ht="12.75">
      <c r="A47" s="204">
        <v>19</v>
      </c>
      <c r="B47" s="507" t="s">
        <v>122</v>
      </c>
      <c r="C47" s="507"/>
      <c r="D47" s="508"/>
      <c r="E47" s="229"/>
      <c r="F47" s="229"/>
      <c r="G47" s="229"/>
      <c r="H47" s="229"/>
      <c r="I47" s="229"/>
      <c r="J47" s="229"/>
      <c r="K47" s="229"/>
      <c r="L47" s="229"/>
      <c r="M47" s="228">
        <f>SUM(M44:M46)</f>
        <v>461.6</v>
      </c>
      <c r="N47" s="227">
        <f>SUM(N44:N46)</f>
        <v>20541.2</v>
      </c>
    </row>
    <row r="48" spans="1:14" ht="12.75">
      <c r="A48" s="204">
        <v>20</v>
      </c>
      <c r="B48" s="535" t="s">
        <v>121</v>
      </c>
      <c r="C48" s="535"/>
      <c r="D48" s="535"/>
      <c r="E48" s="518"/>
      <c r="F48" s="518"/>
      <c r="G48" s="518"/>
      <c r="H48" s="518"/>
      <c r="I48" s="518"/>
      <c r="J48" s="518"/>
      <c r="K48" s="518"/>
      <c r="L48" s="518"/>
      <c r="M48" s="535"/>
      <c r="N48" s="535"/>
    </row>
    <row r="49" spans="1:14" ht="25.5">
      <c r="A49" s="204">
        <v>21</v>
      </c>
      <c r="B49" s="211" t="s">
        <v>120</v>
      </c>
      <c r="C49" s="210" t="s">
        <v>119</v>
      </c>
      <c r="D49" s="226" t="s">
        <v>118</v>
      </c>
      <c r="E49" s="226">
        <f>500</f>
        <v>500</v>
      </c>
      <c r="F49" s="225" t="s">
        <v>10</v>
      </c>
      <c r="G49" s="225">
        <v>1.25</v>
      </c>
      <c r="H49" s="225"/>
      <c r="I49" s="225"/>
      <c r="J49" s="225"/>
      <c r="K49" s="225"/>
      <c r="L49" s="224"/>
      <c r="M49" s="221">
        <f>500*1.25</f>
        <v>625</v>
      </c>
      <c r="N49" s="220">
        <f>ROUND((M49*$M$16),2)</f>
        <v>27812.5</v>
      </c>
    </row>
    <row r="50" spans="1:14" ht="12.75">
      <c r="A50" s="204">
        <v>22</v>
      </c>
      <c r="B50" s="211" t="s">
        <v>117</v>
      </c>
      <c r="C50" s="210" t="s">
        <v>116</v>
      </c>
      <c r="D50" s="209" t="s">
        <v>115</v>
      </c>
      <c r="E50" s="536">
        <f>M47</f>
        <v>461.6</v>
      </c>
      <c r="F50" s="537"/>
      <c r="G50" s="537"/>
      <c r="H50" s="223" t="s">
        <v>10</v>
      </c>
      <c r="I50" s="223">
        <v>0.21</v>
      </c>
      <c r="J50" s="223"/>
      <c r="K50" s="223"/>
      <c r="L50" s="222"/>
      <c r="M50" s="221">
        <f>0.21*M47</f>
        <v>96.94</v>
      </c>
      <c r="N50" s="220">
        <f>ROUND((M50*M16),2)</f>
        <v>4313.83</v>
      </c>
    </row>
    <row r="51" spans="1:14" ht="12.75">
      <c r="A51" s="204">
        <v>23</v>
      </c>
      <c r="B51" s="507" t="s">
        <v>114</v>
      </c>
      <c r="C51" s="507"/>
      <c r="D51" s="508"/>
      <c r="E51" s="219"/>
      <c r="F51" s="218"/>
      <c r="G51" s="218"/>
      <c r="H51" s="218"/>
      <c r="I51" s="218"/>
      <c r="J51" s="218"/>
      <c r="K51" s="218"/>
      <c r="L51" s="217"/>
      <c r="M51" s="216">
        <f>M50+M49</f>
        <v>721.94</v>
      </c>
      <c r="N51" s="199">
        <f>N49+N50</f>
        <v>32126.33</v>
      </c>
    </row>
    <row r="52" spans="1:14" ht="12.75">
      <c r="A52" s="204">
        <v>24</v>
      </c>
      <c r="B52" s="536" t="s">
        <v>9</v>
      </c>
      <c r="C52" s="537"/>
      <c r="D52" s="537"/>
      <c r="E52" s="537"/>
      <c r="F52" s="537"/>
      <c r="G52" s="537"/>
      <c r="H52" s="537"/>
      <c r="I52" s="537"/>
      <c r="J52" s="537"/>
      <c r="K52" s="537"/>
      <c r="L52" s="538"/>
      <c r="M52" s="216">
        <f>M37+M42+M47+M51</f>
        <v>3644.41</v>
      </c>
      <c r="N52" s="216">
        <f>N37+N42+N47+N51</f>
        <v>162176.25</v>
      </c>
    </row>
    <row r="53" spans="1:14" ht="12.75">
      <c r="A53" s="204">
        <v>25</v>
      </c>
      <c r="B53" s="215" t="s">
        <v>19</v>
      </c>
      <c r="C53" s="215"/>
      <c r="D53" s="214">
        <v>1</v>
      </c>
      <c r="E53" s="208"/>
      <c r="F53" s="207"/>
      <c r="G53" s="207"/>
      <c r="H53" s="207"/>
      <c r="I53" s="207"/>
      <c r="J53" s="207"/>
      <c r="K53" s="207"/>
      <c r="L53" s="206"/>
      <c r="M53" s="213">
        <f>M52*D53</f>
        <v>3644.41</v>
      </c>
      <c r="N53" s="212">
        <f>ROUND((D53*N52),2)</f>
        <v>162176.25</v>
      </c>
    </row>
    <row r="54" spans="1:14" ht="12.75">
      <c r="A54" s="204">
        <v>26</v>
      </c>
      <c r="B54" s="211" t="s">
        <v>113</v>
      </c>
      <c r="C54" s="210"/>
      <c r="D54" s="209"/>
      <c r="E54" s="208"/>
      <c r="F54" s="207"/>
      <c r="G54" s="207"/>
      <c r="H54" s="207"/>
      <c r="I54" s="207"/>
      <c r="J54" s="207"/>
      <c r="K54" s="207"/>
      <c r="L54" s="206"/>
      <c r="M54" s="200"/>
      <c r="N54" s="205">
        <f>0.18*N53</f>
        <v>29191.73</v>
      </c>
    </row>
    <row r="55" spans="1:14" ht="12.75">
      <c r="A55" s="204">
        <v>27</v>
      </c>
      <c r="B55" s="508" t="s">
        <v>112</v>
      </c>
      <c r="C55" s="532"/>
      <c r="D55" s="532"/>
      <c r="E55" s="203"/>
      <c r="F55" s="202"/>
      <c r="G55" s="202"/>
      <c r="H55" s="202"/>
      <c r="I55" s="202"/>
      <c r="J55" s="202"/>
      <c r="K55" s="202"/>
      <c r="L55" s="201"/>
      <c r="M55" s="200"/>
      <c r="N55" s="199">
        <f>N54+N53</f>
        <v>191367.98</v>
      </c>
    </row>
    <row r="59" spans="2:4" ht="12.75">
      <c r="B59" s="447" t="s">
        <v>234</v>
      </c>
      <c r="C59" s="448"/>
      <c r="D59" s="448"/>
    </row>
    <row r="60" spans="2:4" ht="12.75">
      <c r="B60" s="111"/>
      <c r="C60" s="111"/>
      <c r="D60" s="111"/>
    </row>
    <row r="61" spans="2:4" ht="12.75">
      <c r="B61" s="111"/>
      <c r="C61" s="111"/>
      <c r="D61" s="111"/>
    </row>
    <row r="62" spans="2:4" ht="12.75">
      <c r="B62" s="112"/>
      <c r="C62" s="111"/>
      <c r="D62" s="111"/>
    </row>
  </sheetData>
  <sheetProtection/>
  <mergeCells count="41">
    <mergeCell ref="B59:D59"/>
    <mergeCell ref="B55:D55"/>
    <mergeCell ref="E46:G46"/>
    <mergeCell ref="B47:D47"/>
    <mergeCell ref="B48:N48"/>
    <mergeCell ref="E50:G50"/>
    <mergeCell ref="B51:D51"/>
    <mergeCell ref="B52:L52"/>
    <mergeCell ref="B43:N43"/>
    <mergeCell ref="B18:N18"/>
    <mergeCell ref="A19:N19"/>
    <mergeCell ref="B20:C20"/>
    <mergeCell ref="A27:N27"/>
    <mergeCell ref="B34:D34"/>
    <mergeCell ref="E35:G35"/>
    <mergeCell ref="E36:G36"/>
    <mergeCell ref="B37:D37"/>
    <mergeCell ref="G39:H39"/>
    <mergeCell ref="B42:D42"/>
    <mergeCell ref="E15:L17"/>
    <mergeCell ref="M15:N15"/>
    <mergeCell ref="M16:N16"/>
    <mergeCell ref="A15:A17"/>
    <mergeCell ref="B15:B17"/>
    <mergeCell ref="B38:N38"/>
    <mergeCell ref="I6:N6"/>
    <mergeCell ref="A3:B3"/>
    <mergeCell ref="A4:C4"/>
    <mergeCell ref="C15:C17"/>
    <mergeCell ref="D15:D17"/>
    <mergeCell ref="A8:N8"/>
    <mergeCell ref="I2:N2"/>
    <mergeCell ref="I3:N3"/>
    <mergeCell ref="I4:N4"/>
    <mergeCell ref="I5:N5"/>
    <mergeCell ref="A11:N11"/>
    <mergeCell ref="A13:N13"/>
    <mergeCell ref="A9:N9"/>
    <mergeCell ref="A12:N12"/>
    <mergeCell ref="A5:B5"/>
    <mergeCell ref="A6:B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52">
      <selection activeCell="B69" sqref="B69"/>
    </sheetView>
  </sheetViews>
  <sheetFormatPr defaultColWidth="9.00390625" defaultRowHeight="12.75"/>
  <cols>
    <col min="1" max="1" width="4.125" style="13" customWidth="1"/>
    <col min="2" max="2" width="35.00390625" style="13" customWidth="1"/>
    <col min="3" max="3" width="12.25390625" style="13" customWidth="1"/>
    <col min="4" max="4" width="6.875" style="13" customWidth="1"/>
    <col min="5" max="5" width="7.625" style="13" customWidth="1"/>
    <col min="6" max="6" width="7.875" style="13" customWidth="1"/>
    <col min="7" max="7" width="2.125" style="13" customWidth="1"/>
    <col min="8" max="8" width="5.375" style="13" customWidth="1"/>
    <col min="9" max="9" width="2.75390625" style="13" customWidth="1"/>
    <col min="10" max="10" width="8.25390625" style="13" customWidth="1"/>
    <col min="11" max="11" width="2.00390625" style="13" customWidth="1"/>
    <col min="12" max="12" width="5.00390625" style="13" customWidth="1"/>
    <col min="13" max="13" width="12.125" style="313" customWidth="1"/>
    <col min="14" max="15" width="9.125" style="13" customWidth="1"/>
    <col min="16" max="16" width="13.125" style="13" customWidth="1"/>
    <col min="17" max="16384" width="9.125" style="13" customWidth="1"/>
  </cols>
  <sheetData>
    <row r="1" spans="1:13" ht="12.75">
      <c r="A1" s="3"/>
      <c r="B1" s="3"/>
      <c r="C1" s="3"/>
      <c r="D1" s="3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>
      <c r="A2" s="3"/>
      <c r="B2" s="3"/>
      <c r="C2" s="3"/>
      <c r="D2" s="3"/>
      <c r="E2" s="18"/>
      <c r="F2" s="18"/>
      <c r="G2" s="18"/>
      <c r="H2" s="429" t="s">
        <v>80</v>
      </c>
      <c r="I2" s="429"/>
      <c r="J2" s="429"/>
      <c r="K2" s="429"/>
      <c r="L2" s="429"/>
      <c r="M2" s="429"/>
    </row>
    <row r="3" spans="1:13" ht="15" customHeight="1">
      <c r="A3" s="3"/>
      <c r="B3" s="3"/>
      <c r="C3" s="3"/>
      <c r="D3" s="3"/>
      <c r="E3" s="18"/>
      <c r="F3" s="18"/>
      <c r="G3" s="18"/>
      <c r="H3" s="420"/>
      <c r="I3" s="420"/>
      <c r="J3" s="420"/>
      <c r="K3" s="420"/>
      <c r="L3" s="420"/>
      <c r="M3" s="420"/>
    </row>
    <row r="4" spans="1:13" ht="15" customHeight="1">
      <c r="A4" s="3"/>
      <c r="B4" s="3"/>
      <c r="C4" s="3"/>
      <c r="D4" s="3"/>
      <c r="E4" s="386"/>
      <c r="F4" s="386"/>
      <c r="G4" s="386"/>
      <c r="H4" s="420"/>
      <c r="I4" s="420"/>
      <c r="J4" s="420"/>
      <c r="K4" s="420"/>
      <c r="L4" s="420"/>
      <c r="M4" s="420"/>
    </row>
    <row r="5" spans="1:13" ht="19.5" customHeight="1">
      <c r="A5" s="3"/>
      <c r="B5" s="3"/>
      <c r="C5" s="3"/>
      <c r="D5" s="3"/>
      <c r="E5" s="18"/>
      <c r="F5" s="18"/>
      <c r="G5" s="18"/>
      <c r="H5" s="420" t="s">
        <v>235</v>
      </c>
      <c r="I5" s="420"/>
      <c r="J5" s="420"/>
      <c r="K5" s="420"/>
      <c r="L5" s="420"/>
      <c r="M5" s="420"/>
    </row>
    <row r="6" spans="1:13" ht="19.5" customHeight="1">
      <c r="A6" s="3"/>
      <c r="B6" s="3"/>
      <c r="C6" s="3"/>
      <c r="D6" s="3"/>
      <c r="E6" s="12"/>
      <c r="F6" s="12"/>
      <c r="G6" s="12"/>
      <c r="H6" s="420" t="s">
        <v>220</v>
      </c>
      <c r="I6" s="420"/>
      <c r="J6" s="420"/>
      <c r="K6" s="420"/>
      <c r="L6" s="420"/>
      <c r="M6" s="420"/>
    </row>
    <row r="7" spans="1:12" ht="12.75">
      <c r="A7" s="3"/>
      <c r="B7" s="3"/>
      <c r="C7" s="3"/>
      <c r="D7" s="3"/>
      <c r="E7" s="12"/>
      <c r="F7" s="12"/>
      <c r="G7" s="12"/>
      <c r="H7" s="12"/>
      <c r="I7" s="12"/>
      <c r="J7" s="12"/>
      <c r="K7" s="12"/>
      <c r="L7" s="12"/>
    </row>
    <row r="8" spans="1:13" ht="12.75">
      <c r="A8" s="589" t="s">
        <v>218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</row>
    <row r="9" spans="1:13" ht="12.75">
      <c r="A9" s="590" t="s">
        <v>212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</row>
    <row r="10" spans="1:13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5" customHeight="1">
      <c r="A11" s="581" t="s">
        <v>227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</row>
    <row r="12" spans="1:13" ht="15" customHeight="1">
      <c r="A12" s="581" t="s">
        <v>79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</row>
    <row r="13" spans="1:13" ht="15" customHeight="1">
      <c r="A13" s="581" t="s">
        <v>222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</row>
    <row r="14" spans="1:13" ht="15" customHeight="1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</row>
    <row r="15" spans="1:13" ht="72.75" customHeight="1">
      <c r="A15" s="384" t="s">
        <v>20</v>
      </c>
      <c r="B15" s="384" t="s">
        <v>1</v>
      </c>
      <c r="C15" s="582" t="s">
        <v>211</v>
      </c>
      <c r="D15" s="583"/>
      <c r="E15" s="582" t="s">
        <v>210</v>
      </c>
      <c r="F15" s="584"/>
      <c r="G15" s="584"/>
      <c r="H15" s="584"/>
      <c r="I15" s="584"/>
      <c r="J15" s="584"/>
      <c r="K15" s="584"/>
      <c r="L15" s="584"/>
      <c r="M15" s="383" t="s">
        <v>164</v>
      </c>
    </row>
    <row r="16" spans="1:13" s="380" customFormat="1" ht="12.75">
      <c r="A16" s="382">
        <v>1</v>
      </c>
      <c r="B16" s="382">
        <v>2</v>
      </c>
      <c r="C16" s="585">
        <v>3</v>
      </c>
      <c r="D16" s="586"/>
      <c r="E16" s="585">
        <v>4</v>
      </c>
      <c r="F16" s="587"/>
      <c r="G16" s="587"/>
      <c r="H16" s="587"/>
      <c r="I16" s="587"/>
      <c r="J16" s="587"/>
      <c r="K16" s="587"/>
      <c r="L16" s="586"/>
      <c r="M16" s="381">
        <v>5</v>
      </c>
    </row>
    <row r="17" spans="1:13" ht="29.25" customHeight="1">
      <c r="A17" s="350"/>
      <c r="B17" s="561" t="s">
        <v>209</v>
      </c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88"/>
    </row>
    <row r="18" spans="1:13" ht="12.75">
      <c r="A18" s="14"/>
      <c r="B18" s="15" t="s">
        <v>160</v>
      </c>
      <c r="C18" s="11"/>
      <c r="D18" s="11"/>
      <c r="E18" s="11"/>
      <c r="F18" s="16"/>
      <c r="G18" s="16"/>
      <c r="H18" s="16"/>
      <c r="I18" s="16"/>
      <c r="J18" s="16"/>
      <c r="K18" s="16"/>
      <c r="L18" s="16"/>
      <c r="M18" s="377"/>
    </row>
    <row r="19" spans="1:13" ht="12.75">
      <c r="A19" s="14"/>
      <c r="B19" s="11" t="s">
        <v>208</v>
      </c>
      <c r="C19" s="16"/>
      <c r="D19" s="379">
        <f>1.3+0.25</f>
        <v>1.55</v>
      </c>
      <c r="E19" s="16"/>
      <c r="F19" s="16"/>
      <c r="G19" s="16"/>
      <c r="H19" s="16"/>
      <c r="I19" s="16"/>
      <c r="J19" s="16"/>
      <c r="K19" s="16"/>
      <c r="L19" s="16"/>
      <c r="M19" s="377"/>
    </row>
    <row r="20" spans="1:13" ht="12.75">
      <c r="A20" s="14"/>
      <c r="B20" s="11" t="s">
        <v>231</v>
      </c>
      <c r="C20" s="16"/>
      <c r="D20" s="379">
        <v>44.5</v>
      </c>
      <c r="E20" s="378"/>
      <c r="F20" s="16"/>
      <c r="G20" s="16"/>
      <c r="H20" s="16"/>
      <c r="I20" s="16"/>
      <c r="J20" s="16"/>
      <c r="K20" s="16"/>
      <c r="L20" s="16"/>
      <c r="M20" s="377"/>
    </row>
    <row r="21" spans="1:18" ht="12.75">
      <c r="A21" s="14"/>
      <c r="B21" s="11" t="s">
        <v>207</v>
      </c>
      <c r="C21" s="379"/>
      <c r="D21" s="379">
        <v>0.5</v>
      </c>
      <c r="E21" s="378"/>
      <c r="F21" s="16"/>
      <c r="G21" s="16"/>
      <c r="H21" s="16"/>
      <c r="I21" s="16"/>
      <c r="J21" s="578" t="s">
        <v>37</v>
      </c>
      <c r="K21" s="578"/>
      <c r="L21" s="578"/>
      <c r="M21" s="377"/>
      <c r="P21" s="3"/>
      <c r="Q21" s="12" t="s">
        <v>37</v>
      </c>
      <c r="R21" s="3" t="s">
        <v>37</v>
      </c>
    </row>
    <row r="22" spans="1:13" ht="12.75">
      <c r="A22" s="579" t="s">
        <v>206</v>
      </c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</row>
    <row r="23" spans="1:13" ht="12.75">
      <c r="A23" s="543">
        <v>1</v>
      </c>
      <c r="B23" s="580" t="s">
        <v>229</v>
      </c>
      <c r="C23" s="322" t="s">
        <v>205</v>
      </c>
      <c r="D23" s="332"/>
      <c r="E23" s="570" t="s">
        <v>190</v>
      </c>
      <c r="F23" s="546"/>
      <c r="G23" s="546"/>
      <c r="H23" s="546"/>
      <c r="I23" s="546"/>
      <c r="J23" s="546"/>
      <c r="K23" s="546"/>
      <c r="L23" s="546"/>
      <c r="M23" s="577">
        <f>ROUND(E24*J24,2)</f>
        <v>2.17</v>
      </c>
    </row>
    <row r="24" spans="1:13" ht="12.75">
      <c r="A24" s="543"/>
      <c r="B24" s="575"/>
      <c r="C24" s="322"/>
      <c r="D24" s="332"/>
      <c r="E24" s="331">
        <v>4.33</v>
      </c>
      <c r="F24" s="317"/>
      <c r="G24" s="317"/>
      <c r="H24" s="317"/>
      <c r="I24" s="317"/>
      <c r="J24" s="376">
        <v>0.5</v>
      </c>
      <c r="K24" s="317"/>
      <c r="L24" s="317"/>
      <c r="M24" s="577"/>
    </row>
    <row r="25" spans="1:13" ht="12.75">
      <c r="A25" s="543"/>
      <c r="B25" s="575"/>
      <c r="C25" s="322"/>
      <c r="D25" s="332"/>
      <c r="E25" s="570" t="s">
        <v>189</v>
      </c>
      <c r="F25" s="546"/>
      <c r="G25" s="546"/>
      <c r="H25" s="546"/>
      <c r="I25" s="546"/>
      <c r="J25" s="546"/>
      <c r="K25" s="546"/>
      <c r="L25" s="546"/>
      <c r="M25" s="577">
        <f>ROUND(E26*J26,2)</f>
        <v>0.85</v>
      </c>
    </row>
    <row r="26" spans="1:13" ht="19.5" customHeight="1">
      <c r="A26" s="543"/>
      <c r="B26" s="575"/>
      <c r="C26" s="322"/>
      <c r="D26" s="332"/>
      <c r="E26" s="375">
        <v>1.69</v>
      </c>
      <c r="F26" s="335"/>
      <c r="G26" s="335"/>
      <c r="H26" s="335"/>
      <c r="I26" s="335"/>
      <c r="J26" s="335">
        <f>J24</f>
        <v>0.5</v>
      </c>
      <c r="K26" s="335"/>
      <c r="L26" s="335"/>
      <c r="M26" s="577"/>
    </row>
    <row r="27" spans="1:13" ht="12.75">
      <c r="A27" s="564">
        <v>2</v>
      </c>
      <c r="B27" s="574" t="s">
        <v>204</v>
      </c>
      <c r="C27" s="348" t="s">
        <v>203</v>
      </c>
      <c r="D27" s="347"/>
      <c r="E27" s="561" t="s">
        <v>190</v>
      </c>
      <c r="F27" s="562"/>
      <c r="G27" s="562"/>
      <c r="H27" s="562"/>
      <c r="I27" s="562"/>
      <c r="J27" s="562"/>
      <c r="K27" s="562"/>
      <c r="L27" s="562"/>
      <c r="M27" s="568">
        <f>ROUND(E28*J28,2)</f>
        <v>10.15</v>
      </c>
    </row>
    <row r="28" spans="1:13" ht="12.75">
      <c r="A28" s="543"/>
      <c r="B28" s="575"/>
      <c r="C28" s="322"/>
      <c r="D28" s="332"/>
      <c r="E28" s="331">
        <v>20.3</v>
      </c>
      <c r="F28" s="317"/>
      <c r="G28" s="317"/>
      <c r="H28" s="317"/>
      <c r="I28" s="317"/>
      <c r="J28" s="317">
        <f>J24</f>
        <v>0.5</v>
      </c>
      <c r="K28" s="317"/>
      <c r="L28" s="317"/>
      <c r="M28" s="577"/>
    </row>
    <row r="29" spans="1:13" ht="12.75">
      <c r="A29" s="543"/>
      <c r="B29" s="575"/>
      <c r="C29" s="322"/>
      <c r="D29" s="332"/>
      <c r="E29" s="570" t="s">
        <v>189</v>
      </c>
      <c r="F29" s="546"/>
      <c r="G29" s="546"/>
      <c r="H29" s="546"/>
      <c r="I29" s="546"/>
      <c r="J29" s="546"/>
      <c r="K29" s="546"/>
      <c r="L29" s="546"/>
      <c r="M29" s="577">
        <f>ROUND(E30*J30,2)</f>
        <v>1.05</v>
      </c>
    </row>
    <row r="30" spans="1:13" ht="39" customHeight="1">
      <c r="A30" s="565"/>
      <c r="B30" s="576"/>
      <c r="C30" s="372"/>
      <c r="D30" s="371"/>
      <c r="E30" s="370">
        <v>2.1</v>
      </c>
      <c r="F30" s="369"/>
      <c r="G30" s="369"/>
      <c r="H30" s="369"/>
      <c r="I30" s="369"/>
      <c r="J30" s="369">
        <f>J24</f>
        <v>0.5</v>
      </c>
      <c r="K30" s="369"/>
      <c r="L30" s="369"/>
      <c r="M30" s="569"/>
    </row>
    <row r="31" spans="1:13" ht="25.5">
      <c r="A31" s="564">
        <v>3</v>
      </c>
      <c r="B31" s="566" t="s">
        <v>202</v>
      </c>
      <c r="C31" s="348" t="s">
        <v>201</v>
      </c>
      <c r="D31" s="347"/>
      <c r="E31" s="561" t="s">
        <v>190</v>
      </c>
      <c r="F31" s="562"/>
      <c r="G31" s="562"/>
      <c r="H31" s="562"/>
      <c r="I31" s="562"/>
      <c r="J31" s="562"/>
      <c r="K31" s="562"/>
      <c r="L31" s="562"/>
      <c r="M31" s="572">
        <f>ROUND(E32*J32*L32,2)</f>
        <v>14.04</v>
      </c>
    </row>
    <row r="32" spans="1:13" ht="114.75">
      <c r="A32" s="543"/>
      <c r="B32" s="544"/>
      <c r="C32" s="322" t="s">
        <v>200</v>
      </c>
      <c r="D32" s="332">
        <v>0.6</v>
      </c>
      <c r="E32" s="331">
        <v>11.7</v>
      </c>
      <c r="F32" s="317"/>
      <c r="G32" s="317"/>
      <c r="H32" s="317"/>
      <c r="I32" s="317"/>
      <c r="J32" s="317">
        <v>2</v>
      </c>
      <c r="K32" s="317" t="s">
        <v>10</v>
      </c>
      <c r="L32" s="317">
        <v>0.6</v>
      </c>
      <c r="M32" s="573"/>
    </row>
    <row r="33" spans="1:13" ht="12.75">
      <c r="A33" s="543"/>
      <c r="B33" s="544"/>
      <c r="C33" s="322"/>
      <c r="D33" s="332"/>
      <c r="E33" s="570" t="s">
        <v>189</v>
      </c>
      <c r="F33" s="546"/>
      <c r="G33" s="546"/>
      <c r="H33" s="546"/>
      <c r="I33" s="546"/>
      <c r="J33" s="546"/>
      <c r="K33" s="546"/>
      <c r="L33" s="546"/>
      <c r="M33" s="572">
        <f>ROUND(E34*J34*L34,2)</f>
        <v>4.5</v>
      </c>
    </row>
    <row r="34" spans="1:13" ht="12.75">
      <c r="A34" s="565"/>
      <c r="B34" s="567"/>
      <c r="C34" s="372"/>
      <c r="D34" s="371"/>
      <c r="E34" s="363">
        <v>7.5</v>
      </c>
      <c r="F34" s="374"/>
      <c r="G34" s="374"/>
      <c r="H34" s="374"/>
      <c r="I34" s="374"/>
      <c r="J34" s="374">
        <v>1</v>
      </c>
      <c r="K34" s="374" t="s">
        <v>10</v>
      </c>
      <c r="L34" s="374">
        <v>0.6</v>
      </c>
      <c r="M34" s="573"/>
    </row>
    <row r="35" spans="1:13" ht="25.5" customHeight="1">
      <c r="A35" s="350">
        <v>4</v>
      </c>
      <c r="B35" s="349" t="s">
        <v>199</v>
      </c>
      <c r="C35" s="348" t="s">
        <v>198</v>
      </c>
      <c r="D35" s="368"/>
      <c r="E35" s="561" t="s">
        <v>190</v>
      </c>
      <c r="F35" s="562"/>
      <c r="G35" s="562"/>
      <c r="H35" s="562"/>
      <c r="I35" s="562"/>
      <c r="J35" s="562"/>
      <c r="K35" s="562"/>
      <c r="L35" s="563"/>
      <c r="M35" s="367"/>
    </row>
    <row r="36" spans="1:13" ht="63.75">
      <c r="A36" s="361"/>
      <c r="B36" s="373" t="s">
        <v>197</v>
      </c>
      <c r="C36" s="372" t="s">
        <v>196</v>
      </c>
      <c r="D36" s="371">
        <v>0.9</v>
      </c>
      <c r="E36" s="363">
        <v>6.9</v>
      </c>
      <c r="F36" s="317"/>
      <c r="G36" s="317"/>
      <c r="H36" s="317"/>
      <c r="I36" s="317"/>
      <c r="J36" s="374">
        <v>1</v>
      </c>
      <c r="K36" s="317" t="s">
        <v>10</v>
      </c>
      <c r="L36" s="374">
        <v>0.9</v>
      </c>
      <c r="M36" s="320">
        <f>ROUND(E36*J36*L36,2)</f>
        <v>6.21</v>
      </c>
    </row>
    <row r="37" spans="1:13" ht="25.5" customHeight="1">
      <c r="A37" s="334">
        <v>5</v>
      </c>
      <c r="B37" s="349" t="s">
        <v>195</v>
      </c>
      <c r="C37" s="348"/>
      <c r="D37" s="368"/>
      <c r="E37" s="561" t="s">
        <v>190</v>
      </c>
      <c r="F37" s="562"/>
      <c r="G37" s="562"/>
      <c r="H37" s="562"/>
      <c r="I37" s="562"/>
      <c r="J37" s="562"/>
      <c r="K37" s="562"/>
      <c r="L37" s="563"/>
      <c r="M37" s="367"/>
    </row>
    <row r="38" spans="1:13" ht="12.75">
      <c r="A38" s="334"/>
      <c r="B38" s="333" t="s">
        <v>194</v>
      </c>
      <c r="C38" s="322" t="s">
        <v>193</v>
      </c>
      <c r="D38" s="321"/>
      <c r="E38" s="331">
        <v>37.7</v>
      </c>
      <c r="F38" s="317"/>
      <c r="G38" s="317"/>
      <c r="H38" s="317"/>
      <c r="I38" s="317"/>
      <c r="J38" s="317">
        <v>1</v>
      </c>
      <c r="K38" s="317"/>
      <c r="L38" s="317"/>
      <c r="M38" s="330">
        <f>ROUND(E38*J38,2)</f>
        <v>37.7</v>
      </c>
    </row>
    <row r="39" spans="1:13" ht="25.5" customHeight="1">
      <c r="A39" s="564">
        <v>6</v>
      </c>
      <c r="B39" s="566" t="s">
        <v>192</v>
      </c>
      <c r="C39" s="348" t="s">
        <v>191</v>
      </c>
      <c r="D39" s="347"/>
      <c r="E39" s="561" t="s">
        <v>190</v>
      </c>
      <c r="F39" s="562"/>
      <c r="G39" s="562"/>
      <c r="H39" s="562"/>
      <c r="I39" s="562"/>
      <c r="J39" s="562"/>
      <c r="K39" s="562"/>
      <c r="L39" s="563"/>
      <c r="M39" s="568">
        <f>ROUND(E40*J40,2)</f>
        <v>246</v>
      </c>
    </row>
    <row r="40" spans="1:13" ht="12.75">
      <c r="A40" s="543"/>
      <c r="B40" s="544"/>
      <c r="C40" s="322"/>
      <c r="D40" s="332"/>
      <c r="E40" s="331">
        <v>49.2</v>
      </c>
      <c r="F40" s="317"/>
      <c r="G40" s="317"/>
      <c r="H40" s="317"/>
      <c r="I40" s="317"/>
      <c r="J40" s="317">
        <f>D21/0.1</f>
        <v>5</v>
      </c>
      <c r="K40" s="317"/>
      <c r="L40" s="317"/>
      <c r="M40" s="569"/>
    </row>
    <row r="41" spans="1:13" ht="12.75" customHeight="1">
      <c r="A41" s="543"/>
      <c r="B41" s="544"/>
      <c r="C41" s="322"/>
      <c r="D41" s="332"/>
      <c r="E41" s="570" t="s">
        <v>189</v>
      </c>
      <c r="F41" s="546"/>
      <c r="G41" s="546"/>
      <c r="H41" s="546"/>
      <c r="I41" s="546"/>
      <c r="J41" s="546"/>
      <c r="K41" s="546"/>
      <c r="L41" s="571"/>
      <c r="M41" s="568">
        <f>ROUND(E42*J42,2)</f>
        <v>74</v>
      </c>
    </row>
    <row r="42" spans="1:13" ht="12.75">
      <c r="A42" s="565"/>
      <c r="B42" s="567"/>
      <c r="C42" s="372"/>
      <c r="D42" s="371"/>
      <c r="E42" s="370">
        <v>14.8</v>
      </c>
      <c r="F42" s="369"/>
      <c r="G42" s="369"/>
      <c r="H42" s="369"/>
      <c r="I42" s="369"/>
      <c r="J42" s="369">
        <f>J40</f>
        <v>5</v>
      </c>
      <c r="K42" s="369"/>
      <c r="L42" s="369"/>
      <c r="M42" s="569"/>
    </row>
    <row r="43" spans="1:13" ht="12.75">
      <c r="A43" s="331"/>
      <c r="B43" s="368"/>
      <c r="C43" s="552" t="s">
        <v>9</v>
      </c>
      <c r="D43" s="553"/>
      <c r="E43" s="553"/>
      <c r="F43" s="553"/>
      <c r="G43" s="553"/>
      <c r="H43" s="553"/>
      <c r="I43" s="553"/>
      <c r="J43" s="553"/>
      <c r="K43" s="553"/>
      <c r="L43" s="553"/>
      <c r="M43" s="357">
        <f>M45+M44</f>
        <v>396.67</v>
      </c>
    </row>
    <row r="44" spans="1:13" ht="12.75">
      <c r="A44" s="331"/>
      <c r="B44" s="356"/>
      <c r="C44" s="554" t="s">
        <v>188</v>
      </c>
      <c r="D44" s="555"/>
      <c r="E44" s="555"/>
      <c r="F44" s="555"/>
      <c r="G44" s="555"/>
      <c r="H44" s="555"/>
      <c r="I44" s="555"/>
      <c r="J44" s="555"/>
      <c r="K44" s="555"/>
      <c r="L44" s="555"/>
      <c r="M44" s="324">
        <f>M23+M27+M31+M39+M36+M38</f>
        <v>316.27</v>
      </c>
    </row>
    <row r="45" spans="1:13" ht="12.75">
      <c r="A45" s="331"/>
      <c r="B45" s="356"/>
      <c r="C45" s="556" t="s">
        <v>187</v>
      </c>
      <c r="D45" s="557"/>
      <c r="E45" s="557"/>
      <c r="F45" s="557"/>
      <c r="G45" s="557"/>
      <c r="H45" s="557"/>
      <c r="I45" s="557"/>
      <c r="J45" s="557"/>
      <c r="K45" s="557"/>
      <c r="L45" s="557"/>
      <c r="M45" s="367">
        <f>M25+M29+M33+M41</f>
        <v>80.4</v>
      </c>
    </row>
    <row r="46" spans="1:13" ht="12.75">
      <c r="A46" s="340"/>
      <c r="B46" s="366" t="s">
        <v>186</v>
      </c>
      <c r="C46" s="364"/>
      <c r="D46" s="365"/>
      <c r="E46" s="364"/>
      <c r="F46" s="352"/>
      <c r="G46" s="352"/>
      <c r="H46" s="352"/>
      <c r="I46" s="352"/>
      <c r="J46" s="352"/>
      <c r="K46" s="352"/>
      <c r="L46" s="352"/>
      <c r="M46" s="324"/>
    </row>
    <row r="47" spans="1:13" ht="63.75">
      <c r="A47" s="331">
        <v>7</v>
      </c>
      <c r="B47" s="349" t="s">
        <v>185</v>
      </c>
      <c r="C47" s="354" t="s">
        <v>184</v>
      </c>
      <c r="D47" s="355"/>
      <c r="E47" s="354">
        <v>52.3</v>
      </c>
      <c r="G47" s="353"/>
      <c r="H47" s="353"/>
      <c r="I47" s="353"/>
      <c r="J47" s="353">
        <f>B48</f>
        <v>1</v>
      </c>
      <c r="K47" s="353"/>
      <c r="L47" s="353"/>
      <c r="M47" s="320">
        <f>ROUND(E47*J47,2)</f>
        <v>52.3</v>
      </c>
    </row>
    <row r="48" spans="1:13" ht="12.75">
      <c r="A48" s="363"/>
      <c r="B48" s="362">
        <v>1</v>
      </c>
      <c r="C48" s="359"/>
      <c r="D48" s="360"/>
      <c r="E48" s="359"/>
      <c r="F48" s="358"/>
      <c r="G48" s="358"/>
      <c r="H48" s="358"/>
      <c r="I48" s="358"/>
      <c r="J48" s="358"/>
      <c r="K48" s="358"/>
      <c r="L48" s="358"/>
      <c r="M48" s="357"/>
    </row>
    <row r="49" spans="1:13" ht="51">
      <c r="A49" s="350">
        <v>8</v>
      </c>
      <c r="B49" s="356" t="s">
        <v>183</v>
      </c>
      <c r="C49" s="354" t="s">
        <v>182</v>
      </c>
      <c r="D49" s="355"/>
      <c r="E49" s="354">
        <v>13.3</v>
      </c>
      <c r="F49" s="353"/>
      <c r="G49" s="353"/>
      <c r="H49" s="353"/>
      <c r="I49" s="353"/>
      <c r="J49" s="353">
        <f>B50</f>
        <v>1</v>
      </c>
      <c r="K49" s="353"/>
      <c r="L49" s="353"/>
      <c r="M49" s="344">
        <f>ROUND(E49*J49,2)</f>
        <v>13.3</v>
      </c>
    </row>
    <row r="50" spans="1:13" ht="12.75">
      <c r="A50" s="361"/>
      <c r="B50" s="358">
        <v>1</v>
      </c>
      <c r="C50" s="359"/>
      <c r="D50" s="360"/>
      <c r="E50" s="359"/>
      <c r="F50" s="358"/>
      <c r="G50" s="358"/>
      <c r="H50" s="358"/>
      <c r="I50" s="358"/>
      <c r="J50" s="358"/>
      <c r="K50" s="358"/>
      <c r="L50" s="358"/>
      <c r="M50" s="357"/>
    </row>
    <row r="51" spans="1:13" ht="38.25">
      <c r="A51" s="334">
        <v>9</v>
      </c>
      <c r="B51" s="356" t="s">
        <v>181</v>
      </c>
      <c r="C51" s="354" t="s">
        <v>180</v>
      </c>
      <c r="D51" s="355"/>
      <c r="E51" s="98">
        <v>19.7</v>
      </c>
      <c r="F51" s="353"/>
      <c r="G51" s="353"/>
      <c r="H51" s="353"/>
      <c r="I51" s="353"/>
      <c r="J51" s="353">
        <f>B52</f>
        <v>1</v>
      </c>
      <c r="K51" s="353"/>
      <c r="L51" s="353"/>
      <c r="M51" s="344">
        <f>ROUND(E51*J51,2)</f>
        <v>19.7</v>
      </c>
    </row>
    <row r="52" spans="1:13" ht="12.75">
      <c r="A52" s="334"/>
      <c r="B52" s="353">
        <v>1</v>
      </c>
      <c r="C52" s="354"/>
      <c r="D52" s="355"/>
      <c r="E52" s="354"/>
      <c r="F52" s="353"/>
      <c r="G52" s="353"/>
      <c r="H52" s="353"/>
      <c r="I52" s="353"/>
      <c r="J52" s="353"/>
      <c r="K52" s="353"/>
      <c r="L52" s="353"/>
      <c r="M52" s="330"/>
    </row>
    <row r="53" spans="1:13" ht="12.75" customHeight="1">
      <c r="A53" s="329"/>
      <c r="B53" s="325"/>
      <c r="C53" s="352"/>
      <c r="D53" s="352"/>
      <c r="E53" s="352"/>
      <c r="F53" s="558" t="s">
        <v>179</v>
      </c>
      <c r="G53" s="558"/>
      <c r="H53" s="558"/>
      <c r="I53" s="558"/>
      <c r="J53" s="558"/>
      <c r="K53" s="558"/>
      <c r="L53" s="559"/>
      <c r="M53" s="324">
        <f>M47+M49+M51</f>
        <v>85.3</v>
      </c>
    </row>
    <row r="54" spans="1:13" ht="16.5" customHeight="1">
      <c r="A54" s="17"/>
      <c r="B54" s="16"/>
      <c r="C54" s="16"/>
      <c r="D54" s="16"/>
      <c r="E54" s="16"/>
      <c r="F54" s="16"/>
      <c r="G54" s="16"/>
      <c r="H54" s="16"/>
      <c r="I54" s="16"/>
      <c r="J54" s="560" t="s">
        <v>9</v>
      </c>
      <c r="K54" s="560"/>
      <c r="L54" s="560"/>
      <c r="M54" s="351">
        <f>M53+M43</f>
        <v>481.97</v>
      </c>
    </row>
    <row r="55" spans="1:13" ht="41.25" customHeight="1">
      <c r="A55" s="350">
        <v>10</v>
      </c>
      <c r="B55" s="349" t="s">
        <v>178</v>
      </c>
      <c r="C55" s="348" t="s">
        <v>177</v>
      </c>
      <c r="D55" s="347">
        <v>18</v>
      </c>
      <c r="E55" s="346">
        <f>M45</f>
        <v>80.4</v>
      </c>
      <c r="F55" s="345"/>
      <c r="G55" s="345"/>
      <c r="H55" s="345"/>
      <c r="I55" s="345" t="s">
        <v>10</v>
      </c>
      <c r="J55" s="345">
        <v>0.18</v>
      </c>
      <c r="K55" s="345"/>
      <c r="L55" s="345"/>
      <c r="M55" s="344">
        <f>ROUND(E55*J55,2)</f>
        <v>14.47</v>
      </c>
    </row>
    <row r="56" spans="1:13" ht="15" customHeight="1">
      <c r="A56" s="329">
        <v>11</v>
      </c>
      <c r="B56" s="343" t="s">
        <v>176</v>
      </c>
      <c r="C56" s="342" t="s">
        <v>175</v>
      </c>
      <c r="D56" s="341">
        <v>0.0875</v>
      </c>
      <c r="E56" s="340">
        <f>M44</f>
        <v>316.27</v>
      </c>
      <c r="F56" s="319"/>
      <c r="G56" s="319"/>
      <c r="H56" s="319"/>
      <c r="I56" s="319" t="s">
        <v>10</v>
      </c>
      <c r="J56" s="558">
        <v>0.0875</v>
      </c>
      <c r="K56" s="558"/>
      <c r="L56" s="319"/>
      <c r="M56" s="339">
        <f>ROUND(E56*J56,2)</f>
        <v>27.67</v>
      </c>
    </row>
    <row r="57" spans="1:13" ht="12.75">
      <c r="A57" s="543">
        <v>12</v>
      </c>
      <c r="B57" s="544" t="s">
        <v>174</v>
      </c>
      <c r="C57" s="322" t="s">
        <v>173</v>
      </c>
      <c r="D57" s="338">
        <v>0.06</v>
      </c>
      <c r="E57" s="337" t="s">
        <v>21</v>
      </c>
      <c r="F57" s="336">
        <f>M44</f>
        <v>316.27</v>
      </c>
      <c r="G57" s="335" t="s">
        <v>22</v>
      </c>
      <c r="H57" s="87">
        <f>M56</f>
        <v>27.67</v>
      </c>
      <c r="I57" s="335" t="s">
        <v>23</v>
      </c>
      <c r="J57" s="335">
        <v>0.06</v>
      </c>
      <c r="K57" s="335" t="s">
        <v>10</v>
      </c>
      <c r="L57" s="335">
        <f>D58</f>
        <v>2.5</v>
      </c>
      <c r="M57" s="330">
        <f>ROUND((F57+H57)*J57*L57,2)</f>
        <v>51.59</v>
      </c>
    </row>
    <row r="58" spans="1:13" ht="90" customHeight="1">
      <c r="A58" s="543"/>
      <c r="B58" s="544"/>
      <c r="C58" s="322" t="s">
        <v>172</v>
      </c>
      <c r="D58" s="332">
        <v>2.5</v>
      </c>
      <c r="E58" s="331"/>
      <c r="F58" s="317"/>
      <c r="G58" s="317"/>
      <c r="H58" s="317"/>
      <c r="I58" s="317"/>
      <c r="J58" s="317"/>
      <c r="K58" s="317"/>
      <c r="L58" s="317"/>
      <c r="M58" s="330"/>
    </row>
    <row r="59" spans="1:13" ht="13.5" customHeight="1">
      <c r="A59" s="329"/>
      <c r="B59" s="328"/>
      <c r="C59" s="327"/>
      <c r="D59" s="326"/>
      <c r="E59" s="319"/>
      <c r="F59" s="319"/>
      <c r="G59" s="319"/>
      <c r="H59" s="319"/>
      <c r="I59" s="319"/>
      <c r="J59" s="545" t="s">
        <v>9</v>
      </c>
      <c r="K59" s="545"/>
      <c r="L59" s="545"/>
      <c r="M59" s="324">
        <f>M54+M55+M56+M57</f>
        <v>575.7</v>
      </c>
    </row>
    <row r="60" spans="1:13" ht="63.75">
      <c r="A60" s="323">
        <v>13</v>
      </c>
      <c r="B60" s="321" t="s">
        <v>171</v>
      </c>
      <c r="C60" s="322" t="s">
        <v>214</v>
      </c>
      <c r="D60" s="321">
        <v>44.5</v>
      </c>
      <c r="E60" s="99">
        <f>M59</f>
        <v>575.7</v>
      </c>
      <c r="F60" s="317"/>
      <c r="G60" s="317" t="s">
        <v>10</v>
      </c>
      <c r="H60" s="317">
        <f>D19</f>
        <v>1.55</v>
      </c>
      <c r="I60" s="317" t="s">
        <v>10</v>
      </c>
      <c r="J60" s="546">
        <f>D60</f>
        <v>44.5</v>
      </c>
      <c r="K60" s="546"/>
      <c r="L60" s="317"/>
      <c r="M60" s="320">
        <f>ROUND(E60*H60*J60,2)</f>
        <v>39708.91</v>
      </c>
    </row>
    <row r="61" spans="1:13" ht="12.75">
      <c r="A61" s="547" t="s">
        <v>170</v>
      </c>
      <c r="B61" s="548"/>
      <c r="C61" s="548"/>
      <c r="D61" s="548"/>
      <c r="E61" s="548"/>
      <c r="F61" s="319"/>
      <c r="G61" s="319"/>
      <c r="H61" s="319"/>
      <c r="I61" s="319"/>
      <c r="J61" s="319"/>
      <c r="K61" s="319"/>
      <c r="L61" s="319"/>
      <c r="M61" s="318">
        <f>M60</f>
        <v>39708.91</v>
      </c>
    </row>
    <row r="62" spans="1:13" ht="12.75">
      <c r="A62" s="549" t="s">
        <v>169</v>
      </c>
      <c r="B62" s="550"/>
      <c r="C62" s="550"/>
      <c r="D62" s="551">
        <v>1</v>
      </c>
      <c r="E62" s="551"/>
      <c r="F62" s="317"/>
      <c r="G62" s="317"/>
      <c r="H62" s="317"/>
      <c r="I62" s="317"/>
      <c r="J62" s="317"/>
      <c r="K62" s="317"/>
      <c r="L62" s="317"/>
      <c r="M62" s="100">
        <f>M61*D62</f>
        <v>39708.91</v>
      </c>
    </row>
    <row r="63" spans="1:13" ht="12.75">
      <c r="A63" s="316"/>
      <c r="B63" s="113"/>
      <c r="C63" s="113"/>
      <c r="D63" s="315"/>
      <c r="E63" s="539" t="s">
        <v>113</v>
      </c>
      <c r="F63" s="540"/>
      <c r="G63" s="540"/>
      <c r="H63" s="540"/>
      <c r="I63" s="540"/>
      <c r="J63" s="540"/>
      <c r="K63" s="540"/>
      <c r="L63" s="540"/>
      <c r="M63" s="25">
        <f>M62*0.18</f>
        <v>7147.6</v>
      </c>
    </row>
    <row r="64" spans="1:13" ht="14.25" customHeight="1">
      <c r="A64" s="314"/>
      <c r="B64" s="541" t="s">
        <v>230</v>
      </c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25">
        <f>M62+M63</f>
        <v>46856.51</v>
      </c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13" ht="15" customHeight="1">
      <c r="B68" s="447" t="s">
        <v>236</v>
      </c>
      <c r="C68" s="448"/>
      <c r="D68" s="448"/>
      <c r="E68" s="448"/>
      <c r="F68" s="448"/>
      <c r="G68" s="448"/>
      <c r="H68" s="448"/>
      <c r="I68" s="5"/>
      <c r="J68" s="542"/>
      <c r="K68" s="542"/>
      <c r="L68" s="542"/>
      <c r="M68" s="542"/>
    </row>
    <row r="69" spans="2:4" ht="12.75">
      <c r="B69" s="111"/>
      <c r="C69" s="111"/>
      <c r="D69" s="111"/>
    </row>
    <row r="70" spans="2:4" ht="12.75">
      <c r="B70" s="111"/>
      <c r="C70" s="111"/>
      <c r="D70" s="111"/>
    </row>
    <row r="71" spans="2:4" ht="12.75">
      <c r="B71" s="112"/>
      <c r="C71" s="111"/>
      <c r="D71" s="111"/>
    </row>
    <row r="72" spans="2:4" ht="12.75">
      <c r="B72" s="3"/>
      <c r="C72" s="3"/>
      <c r="D72" s="3"/>
    </row>
  </sheetData>
  <sheetProtection/>
  <mergeCells count="60">
    <mergeCell ref="B68:H68"/>
    <mergeCell ref="H2:M2"/>
    <mergeCell ref="H3:M3"/>
    <mergeCell ref="H4:M4"/>
    <mergeCell ref="H5:M5"/>
    <mergeCell ref="H6:M6"/>
    <mergeCell ref="A8:M8"/>
    <mergeCell ref="A9:M9"/>
    <mergeCell ref="A11:M11"/>
    <mergeCell ref="A12:M12"/>
    <mergeCell ref="A13:M13"/>
    <mergeCell ref="C15:D15"/>
    <mergeCell ref="E15:L15"/>
    <mergeCell ref="C16:D16"/>
    <mergeCell ref="E16:L16"/>
    <mergeCell ref="B17:M17"/>
    <mergeCell ref="J21:L21"/>
    <mergeCell ref="A22:M22"/>
    <mergeCell ref="A23:A26"/>
    <mergeCell ref="B23:B26"/>
    <mergeCell ref="E23:L23"/>
    <mergeCell ref="M23:M24"/>
    <mergeCell ref="E25:L25"/>
    <mergeCell ref="M25:M26"/>
    <mergeCell ref="A27:A30"/>
    <mergeCell ref="B27:B30"/>
    <mergeCell ref="E27:L27"/>
    <mergeCell ref="M27:M28"/>
    <mergeCell ref="E29:L29"/>
    <mergeCell ref="M29:M30"/>
    <mergeCell ref="A31:A34"/>
    <mergeCell ref="B31:B34"/>
    <mergeCell ref="E31:L31"/>
    <mergeCell ref="M31:M32"/>
    <mergeCell ref="E33:L33"/>
    <mergeCell ref="M33:M34"/>
    <mergeCell ref="E35:L35"/>
    <mergeCell ref="E37:L37"/>
    <mergeCell ref="A39:A42"/>
    <mergeCell ref="B39:B42"/>
    <mergeCell ref="E39:L39"/>
    <mergeCell ref="M39:M40"/>
    <mergeCell ref="E41:L41"/>
    <mergeCell ref="M41:M42"/>
    <mergeCell ref="C43:L43"/>
    <mergeCell ref="C44:L44"/>
    <mergeCell ref="C45:L45"/>
    <mergeCell ref="F53:L53"/>
    <mergeCell ref="J54:L54"/>
    <mergeCell ref="J56:K56"/>
    <mergeCell ref="E63:L63"/>
    <mergeCell ref="B64:L64"/>
    <mergeCell ref="J68:M68"/>
    <mergeCell ref="A57:A58"/>
    <mergeCell ref="B57:B58"/>
    <mergeCell ref="J59:L59"/>
    <mergeCell ref="J60:K60"/>
    <mergeCell ref="A61:E61"/>
    <mergeCell ref="A62:C62"/>
    <mergeCell ref="D62:E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6">
      <selection activeCell="C13" sqref="C13"/>
    </sheetView>
  </sheetViews>
  <sheetFormatPr defaultColWidth="9.00390625" defaultRowHeight="12.75"/>
  <cols>
    <col min="1" max="1" width="10.375" style="3" customWidth="1"/>
    <col min="2" max="2" width="13.00390625" style="3" customWidth="1"/>
    <col min="3" max="3" width="70.25390625" style="3" customWidth="1"/>
    <col min="4" max="16384" width="9.125" style="3" customWidth="1"/>
  </cols>
  <sheetData>
    <row r="1" spans="3:4" ht="17.25" customHeight="1">
      <c r="C1" s="51" t="s">
        <v>82</v>
      </c>
      <c r="D1" s="51"/>
    </row>
    <row r="2" spans="3:4" ht="13.5" customHeight="1">
      <c r="C2" s="18"/>
      <c r="D2" s="18"/>
    </row>
    <row r="3" spans="3:4" ht="15" customHeight="1">
      <c r="C3" s="18"/>
      <c r="D3" s="18"/>
    </row>
    <row r="4" spans="3:4" ht="21.75" customHeight="1">
      <c r="C4" s="18" t="s">
        <v>233</v>
      </c>
      <c r="D4" s="18"/>
    </row>
    <row r="5" spans="3:4" ht="19.5" customHeight="1">
      <c r="C5" s="18" t="s">
        <v>228</v>
      </c>
      <c r="D5" s="18"/>
    </row>
    <row r="6" spans="5:6" ht="12.75">
      <c r="E6" s="420"/>
      <c r="F6" s="420"/>
    </row>
    <row r="7" spans="1:3" ht="12.75">
      <c r="A7" s="592" t="s">
        <v>83</v>
      </c>
      <c r="B7" s="592"/>
      <c r="C7" s="592"/>
    </row>
    <row r="8" spans="1:3" ht="12.75">
      <c r="A8" s="53"/>
      <c r="B8" s="53"/>
      <c r="C8" s="53"/>
    </row>
    <row r="9" spans="1:10" ht="15.75" customHeight="1">
      <c r="A9" s="430" t="s">
        <v>221</v>
      </c>
      <c r="B9" s="430"/>
      <c r="C9" s="430"/>
      <c r="D9" s="50"/>
      <c r="E9" s="50"/>
      <c r="F9" s="50"/>
      <c r="G9" s="7"/>
      <c r="H9" s="6"/>
      <c r="I9" s="7"/>
      <c r="J9" s="6"/>
    </row>
    <row r="10" spans="1:10" ht="13.5" customHeight="1">
      <c r="A10" s="430" t="s">
        <v>79</v>
      </c>
      <c r="B10" s="430"/>
      <c r="C10" s="430"/>
      <c r="D10" s="50"/>
      <c r="E10" s="50"/>
      <c r="F10" s="50"/>
      <c r="G10" s="7"/>
      <c r="H10" s="6"/>
      <c r="I10" s="7"/>
      <c r="J10" s="6"/>
    </row>
    <row r="11" spans="1:10" ht="13.5" customHeight="1">
      <c r="A11" s="430" t="s">
        <v>222</v>
      </c>
      <c r="B11" s="430"/>
      <c r="C11" s="430"/>
      <c r="D11" s="50"/>
      <c r="E11" s="50"/>
      <c r="F11" s="50"/>
      <c r="G11" s="7"/>
      <c r="H11" s="6"/>
      <c r="I11" s="7"/>
      <c r="J11" s="6"/>
    </row>
    <row r="12" spans="1:3" ht="12.75">
      <c r="A12" s="53"/>
      <c r="B12" s="53"/>
      <c r="C12" s="53"/>
    </row>
    <row r="13" spans="1:3" ht="25.5">
      <c r="A13" s="28" t="s">
        <v>45</v>
      </c>
      <c r="B13" s="40">
        <f>'См№1 ПР'!V28</f>
        <v>535243.75</v>
      </c>
      <c r="C13" s="29" t="s">
        <v>46</v>
      </c>
    </row>
    <row r="14" spans="1:3" ht="12.75">
      <c r="A14" s="28"/>
      <c r="B14" s="41" t="s">
        <v>226</v>
      </c>
      <c r="C14" s="29" t="s">
        <v>47</v>
      </c>
    </row>
    <row r="15" spans="1:3" ht="12.75">
      <c r="A15" s="28" t="s">
        <v>48</v>
      </c>
      <c r="B15" s="42">
        <v>3.99</v>
      </c>
      <c r="C15" s="30" t="s">
        <v>49</v>
      </c>
    </row>
    <row r="16" spans="1:3" ht="25.5">
      <c r="A16" s="28" t="s">
        <v>50</v>
      </c>
      <c r="B16" s="40">
        <f>B13/B15</f>
        <v>134146.3</v>
      </c>
      <c r="C16" s="29" t="s">
        <v>51</v>
      </c>
    </row>
    <row r="17" spans="1:3" ht="12.75">
      <c r="A17" s="28" t="s">
        <v>52</v>
      </c>
      <c r="B17" s="40">
        <f>'См№ Геодез'!N41+'См№ Геолог'!N55+'Смета № 4 Экология'!M64</f>
        <v>248730.7</v>
      </c>
      <c r="C17" s="29" t="s">
        <v>53</v>
      </c>
    </row>
    <row r="18" spans="1:3" ht="12.75">
      <c r="A18" s="28"/>
      <c r="B18" s="41" t="s">
        <v>226</v>
      </c>
      <c r="C18" s="29" t="s">
        <v>54</v>
      </c>
    </row>
    <row r="19" spans="1:3" ht="12.75">
      <c r="A19" s="28" t="s">
        <v>48</v>
      </c>
      <c r="B19" s="42">
        <v>3.99</v>
      </c>
      <c r="C19" s="30" t="s">
        <v>55</v>
      </c>
    </row>
    <row r="20" spans="1:3" ht="25.5">
      <c r="A20" s="28" t="s">
        <v>56</v>
      </c>
      <c r="B20" s="40">
        <f>B17/B19</f>
        <v>62338.52</v>
      </c>
      <c r="C20" s="29" t="s">
        <v>57</v>
      </c>
    </row>
    <row r="21" spans="1:3" ht="25.5">
      <c r="A21" s="114" t="s">
        <v>58</v>
      </c>
      <c r="B21" s="47">
        <v>3.73</v>
      </c>
      <c r="C21" s="31" t="s">
        <v>59</v>
      </c>
    </row>
    <row r="22" spans="1:3" ht="25.5">
      <c r="A22" s="114" t="s">
        <v>58</v>
      </c>
      <c r="B22" s="47">
        <v>3.73</v>
      </c>
      <c r="C22" s="32" t="s">
        <v>60</v>
      </c>
    </row>
    <row r="23" spans="1:3" ht="12.75">
      <c r="A23" s="114"/>
      <c r="B23" s="40">
        <f>(B16+B20)/1000000</f>
        <v>0.2</v>
      </c>
      <c r="C23" s="29" t="s">
        <v>61</v>
      </c>
    </row>
    <row r="24" spans="1:3" ht="38.25">
      <c r="A24" s="28" t="s">
        <v>62</v>
      </c>
      <c r="B24" s="48">
        <v>0.2925</v>
      </c>
      <c r="C24" s="29" t="s">
        <v>63</v>
      </c>
    </row>
    <row r="25" spans="1:3" ht="12.75">
      <c r="A25" s="28" t="s">
        <v>13</v>
      </c>
      <c r="B25" s="42">
        <v>18</v>
      </c>
      <c r="C25" s="29" t="s">
        <v>64</v>
      </c>
    </row>
    <row r="26" spans="1:7" ht="25.5">
      <c r="A26" s="28" t="s">
        <v>65</v>
      </c>
      <c r="B26" s="42">
        <v>1</v>
      </c>
      <c r="C26" s="29" t="s">
        <v>66</v>
      </c>
      <c r="G26" s="55">
        <f>B16+B20</f>
        <v>196484.82</v>
      </c>
    </row>
    <row r="27" spans="1:3" ht="12.75">
      <c r="A27" s="33" t="s">
        <v>24</v>
      </c>
      <c r="B27" s="42">
        <v>1</v>
      </c>
      <c r="C27" s="30" t="s">
        <v>67</v>
      </c>
    </row>
    <row r="28" spans="1:3" ht="13.5">
      <c r="A28" s="34" t="s">
        <v>68</v>
      </c>
      <c r="B28" s="43">
        <f>(B16*B21+B20*B22)*B24*B26*B27+0.01</f>
        <v>214369.86</v>
      </c>
      <c r="C28" s="29" t="s">
        <v>69</v>
      </c>
    </row>
    <row r="29" spans="1:3" ht="12.75">
      <c r="A29" s="35" t="s">
        <v>13</v>
      </c>
      <c r="B29" s="44">
        <f>B28*B25/100-0.01</f>
        <v>38586.56</v>
      </c>
      <c r="C29" s="29" t="s">
        <v>70</v>
      </c>
    </row>
    <row r="30" spans="1:3" ht="12.75">
      <c r="A30" s="36" t="s">
        <v>44</v>
      </c>
      <c r="B30" s="45">
        <f>B28+B29</f>
        <v>252956.42</v>
      </c>
      <c r="C30" s="37" t="s">
        <v>71</v>
      </c>
    </row>
    <row r="31" spans="1:3" ht="12.75">
      <c r="A31" s="38"/>
      <c r="B31" s="39"/>
      <c r="C31" s="38"/>
    </row>
    <row r="32" spans="1:3" ht="12.75">
      <c r="A32" s="38" t="s">
        <v>72</v>
      </c>
      <c r="B32" s="39"/>
      <c r="C32" s="38"/>
    </row>
    <row r="33" spans="1:3" ht="12.75">
      <c r="A33" s="38"/>
      <c r="B33" s="39"/>
      <c r="C33" s="38"/>
    </row>
    <row r="34" spans="1:3" ht="12.75">
      <c r="A34" s="13"/>
      <c r="B34" s="13"/>
      <c r="C34" s="13"/>
    </row>
    <row r="35" spans="1:3" ht="12.75">
      <c r="A35" s="593"/>
      <c r="B35" s="593"/>
      <c r="C35" s="26"/>
    </row>
    <row r="36" spans="1:3" ht="12.75">
      <c r="A36" s="27"/>
      <c r="B36" s="594" t="s">
        <v>234</v>
      </c>
      <c r="C36" s="448"/>
    </row>
    <row r="37" spans="1:3" ht="12.75">
      <c r="A37" s="591"/>
      <c r="B37" s="591"/>
      <c r="C37" s="26"/>
    </row>
    <row r="38" spans="1:3" ht="12.75">
      <c r="A38" s="5"/>
      <c r="B38" s="5"/>
      <c r="C38" s="26"/>
    </row>
    <row r="39" spans="1:3" ht="12.75">
      <c r="A39" s="591"/>
      <c r="B39" s="591"/>
      <c r="C39" s="26"/>
    </row>
  </sheetData>
  <sheetProtection/>
  <mergeCells count="9">
    <mergeCell ref="A37:B37"/>
    <mergeCell ref="A39:B39"/>
    <mergeCell ref="E6:F6"/>
    <mergeCell ref="A7:C7"/>
    <mergeCell ref="A9:C9"/>
    <mergeCell ref="A10:C10"/>
    <mergeCell ref="A11:C11"/>
    <mergeCell ref="A35:B35"/>
    <mergeCell ref="B36:C3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user</cp:lastModifiedBy>
  <cp:lastPrinted>2016-03-17T12:10:30Z</cp:lastPrinted>
  <dcterms:created xsi:type="dcterms:W3CDTF">2005-04-12T07:03:24Z</dcterms:created>
  <dcterms:modified xsi:type="dcterms:W3CDTF">2017-10-17T08:17:09Z</dcterms:modified>
  <cp:category/>
  <cp:version/>
  <cp:contentType/>
  <cp:contentStatus/>
</cp:coreProperties>
</file>